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Лист1!$A$1:$W$314</definedName>
  </definedNames>
  <calcPr calcId="145621"/>
</workbook>
</file>

<file path=xl/calcChain.xml><?xml version="1.0" encoding="utf-8"?>
<calcChain xmlns="http://schemas.openxmlformats.org/spreadsheetml/2006/main">
  <c r="X132" i="1" l="1"/>
  <c r="W133" i="1"/>
  <c r="W115" i="1"/>
  <c r="W132" i="1"/>
  <c r="H251" i="1" l="1"/>
  <c r="E251" i="1"/>
  <c r="I249" i="1"/>
  <c r="I247" i="1"/>
  <c r="G241" i="1"/>
  <c r="F241" i="1"/>
  <c r="E241" i="1"/>
  <c r="D241" i="1"/>
  <c r="C241" i="1"/>
  <c r="H240" i="1"/>
  <c r="H239" i="1"/>
  <c r="Y218" i="1"/>
  <c r="Z218" i="1" s="1"/>
  <c r="Z216" i="1"/>
  <c r="Y216" i="1"/>
  <c r="V218" i="1"/>
  <c r="U218" i="1"/>
  <c r="T218" i="1"/>
  <c r="S218" i="1"/>
  <c r="K218" i="1"/>
  <c r="D218" i="1"/>
  <c r="W217" i="1"/>
  <c r="P217" i="1"/>
  <c r="I217" i="1"/>
  <c r="G211" i="1"/>
  <c r="H210" i="1"/>
  <c r="H209" i="1"/>
  <c r="Q208" i="1"/>
  <c r="J208" i="1"/>
  <c r="Y188" i="1"/>
  <c r="Z188" i="1" s="1"/>
  <c r="W188" i="1"/>
  <c r="P188" i="1"/>
  <c r="I188" i="1"/>
  <c r="W166" i="1"/>
  <c r="P166" i="1"/>
  <c r="I166" i="1"/>
  <c r="X145" i="1"/>
  <c r="Z143" i="1"/>
  <c r="T146" i="1"/>
  <c r="O146" i="1"/>
  <c r="N146" i="1"/>
  <c r="G146" i="1"/>
  <c r="E146" i="1"/>
  <c r="W145" i="1"/>
  <c r="P145" i="1"/>
  <c r="I145" i="1"/>
  <c r="V127" i="1"/>
  <c r="T127" i="1"/>
  <c r="N127" i="1"/>
  <c r="E127" i="1"/>
  <c r="D127" i="1" s="1"/>
  <c r="W126" i="1"/>
  <c r="F120" i="1"/>
  <c r="F109" i="1" s="1"/>
  <c r="F117" i="1" s="1"/>
  <c r="F119" i="1"/>
  <c r="Q116" i="1"/>
  <c r="P116" i="1"/>
  <c r="O115" i="1"/>
  <c r="O116" i="1" s="1"/>
  <c r="N115" i="1"/>
  <c r="M115" i="1"/>
  <c r="M120" i="1" s="1"/>
  <c r="L115" i="1"/>
  <c r="L116" i="1" s="1"/>
  <c r="Q113" i="1"/>
  <c r="Q114" i="1" s="1"/>
  <c r="P113" i="1"/>
  <c r="O113" i="1"/>
  <c r="N113" i="1"/>
  <c r="N114" i="1" s="1"/>
  <c r="M113" i="1"/>
  <c r="M119" i="1" s="1"/>
  <c r="L113" i="1"/>
  <c r="O111" i="1"/>
  <c r="O112" i="1" s="1"/>
  <c r="N111" i="1"/>
  <c r="N112" i="1" s="1"/>
  <c r="M111" i="1"/>
  <c r="L111" i="1"/>
  <c r="L112" i="1" s="1"/>
  <c r="T110" i="1"/>
  <c r="Q110" i="1"/>
  <c r="Q120" i="1" s="1"/>
  <c r="O110" i="1"/>
  <c r="O106" i="1" s="1"/>
  <c r="N110" i="1"/>
  <c r="N106" i="1" s="1"/>
  <c r="L110" i="1"/>
  <c r="J110" i="1"/>
  <c r="J120" i="1" s="1"/>
  <c r="H110" i="1"/>
  <c r="G110" i="1"/>
  <c r="G120" i="1" s="1"/>
  <c r="E110" i="1"/>
  <c r="E120" i="1" s="1"/>
  <c r="E109" i="1" s="1"/>
  <c r="E117" i="1" s="1"/>
  <c r="W109" i="1"/>
  <c r="M106" i="1"/>
  <c r="F106" i="1"/>
  <c r="O98" i="1"/>
  <c r="O99" i="1" s="1"/>
  <c r="N98" i="1"/>
  <c r="N99" i="1" s="1"/>
  <c r="M98" i="1"/>
  <c r="M99" i="1" s="1"/>
  <c r="L98" i="1"/>
  <c r="L99" i="1" s="1"/>
  <c r="H98" i="1"/>
  <c r="H99" i="1" s="1"/>
  <c r="G98" i="1"/>
  <c r="G99" i="1" s="1"/>
  <c r="F98" i="1"/>
  <c r="F99" i="1" s="1"/>
  <c r="E98" i="1"/>
  <c r="E99" i="1" s="1"/>
  <c r="Q96" i="1"/>
  <c r="Q97" i="1" s="1"/>
  <c r="P96" i="1"/>
  <c r="P97" i="1" s="1"/>
  <c r="J96" i="1"/>
  <c r="J98" i="1" s="1"/>
  <c r="I96" i="1"/>
  <c r="I98" i="1" s="1"/>
  <c r="H96" i="1"/>
  <c r="H97" i="1" s="1"/>
  <c r="G96" i="1"/>
  <c r="G97" i="1" s="1"/>
  <c r="F96" i="1"/>
  <c r="F97" i="1" s="1"/>
  <c r="E96" i="1"/>
  <c r="E97" i="1" s="1"/>
  <c r="H94" i="1"/>
  <c r="H95" i="1" s="1"/>
  <c r="G94" i="1"/>
  <c r="G95" i="1" s="1"/>
  <c r="F94" i="1"/>
  <c r="F95" i="1" s="1"/>
  <c r="E94" i="1"/>
  <c r="E95" i="1" s="1"/>
  <c r="W92" i="1"/>
  <c r="R92" i="1"/>
  <c r="K87" i="1"/>
  <c r="D87" i="1"/>
  <c r="O83" i="1"/>
  <c r="O80" i="1" s="1"/>
  <c r="N83" i="1"/>
  <c r="N80" i="1" s="1"/>
  <c r="N84" i="1" s="1"/>
  <c r="M83" i="1"/>
  <c r="L83" i="1"/>
  <c r="L80" i="1" s="1"/>
  <c r="H83" i="1"/>
  <c r="V83" i="1" s="1"/>
  <c r="G83" i="1"/>
  <c r="U83" i="1" s="1"/>
  <c r="F83" i="1"/>
  <c r="T83" i="1" s="1"/>
  <c r="E83" i="1"/>
  <c r="S83" i="1" s="1"/>
  <c r="Q82" i="1"/>
  <c r="P82" i="1"/>
  <c r="O82" i="1"/>
  <c r="N82" i="1"/>
  <c r="M82" i="1"/>
  <c r="L82" i="1"/>
  <c r="H82" i="1"/>
  <c r="V82" i="1" s="1"/>
  <c r="G82" i="1"/>
  <c r="U82" i="1" s="1"/>
  <c r="F82" i="1"/>
  <c r="T82" i="1" s="1"/>
  <c r="E82" i="1"/>
  <c r="M80" i="1"/>
  <c r="M84" i="1" s="1"/>
  <c r="O79" i="1"/>
  <c r="N79" i="1"/>
  <c r="M79" i="1"/>
  <c r="L79" i="1"/>
  <c r="Q78" i="1"/>
  <c r="Q83" i="1" s="1"/>
  <c r="Q80" i="1" s="1"/>
  <c r="P78" i="1"/>
  <c r="P83" i="1" s="1"/>
  <c r="Q77" i="1"/>
  <c r="P77" i="1"/>
  <c r="O77" i="1"/>
  <c r="N77" i="1"/>
  <c r="M77" i="1"/>
  <c r="L77" i="1"/>
  <c r="O75" i="1"/>
  <c r="N75" i="1"/>
  <c r="M75" i="1"/>
  <c r="L75" i="1"/>
  <c r="V73" i="1"/>
  <c r="U73" i="1"/>
  <c r="T73" i="1"/>
  <c r="K73" i="1"/>
  <c r="J73" i="1"/>
  <c r="J83" i="1" s="1"/>
  <c r="J80" i="1" s="1"/>
  <c r="W72" i="1"/>
  <c r="S72" i="1"/>
  <c r="K72" i="1"/>
  <c r="T68" i="1"/>
  <c r="H66" i="1"/>
  <c r="G66" i="1"/>
  <c r="F66" i="1"/>
  <c r="E66" i="1"/>
  <c r="L64" i="1"/>
  <c r="K64" i="1"/>
  <c r="J64" i="1"/>
  <c r="H64" i="1"/>
  <c r="G64" i="1"/>
  <c r="F64" i="1"/>
  <c r="E64" i="1"/>
  <c r="M58" i="1"/>
  <c r="M46" i="1" s="1"/>
  <c r="M55" i="1" s="1"/>
  <c r="M59" i="1" s="1"/>
  <c r="F58" i="1"/>
  <c r="E58" i="1"/>
  <c r="M57" i="1"/>
  <c r="F57" i="1"/>
  <c r="E57" i="1"/>
  <c r="O54" i="1"/>
  <c r="N54" i="1"/>
  <c r="M54" i="1"/>
  <c r="L54" i="1"/>
  <c r="Q53" i="1"/>
  <c r="P53" i="1"/>
  <c r="J53" i="1"/>
  <c r="I53" i="1"/>
  <c r="Q52" i="1"/>
  <c r="P52" i="1"/>
  <c r="O52" i="1"/>
  <c r="N52" i="1"/>
  <c r="M52" i="1"/>
  <c r="L52" i="1"/>
  <c r="O50" i="1"/>
  <c r="N50" i="1"/>
  <c r="M50" i="1"/>
  <c r="L50" i="1"/>
  <c r="Q47" i="1"/>
  <c r="P47" i="1"/>
  <c r="O47" i="1"/>
  <c r="O58" i="1" s="1"/>
  <c r="O46" i="1" s="1"/>
  <c r="N47" i="1"/>
  <c r="N58" i="1" s="1"/>
  <c r="N46" i="1" s="1"/>
  <c r="L47" i="1"/>
  <c r="L58" i="1" s="1"/>
  <c r="J47" i="1"/>
  <c r="I47" i="1"/>
  <c r="H47" i="1"/>
  <c r="H58" i="1" s="1"/>
  <c r="H46" i="1" s="1"/>
  <c r="G47" i="1"/>
  <c r="G58" i="1" s="1"/>
  <c r="G46" i="1" s="1"/>
  <c r="W46" i="1"/>
  <c r="F46" i="1"/>
  <c r="F56" i="1" s="1"/>
  <c r="N38" i="1"/>
  <c r="N28" i="1" s="1"/>
  <c r="N37" i="1" s="1"/>
  <c r="M38" i="1"/>
  <c r="M28" i="1" s="1"/>
  <c r="M37" i="1" s="1"/>
  <c r="I38" i="1"/>
  <c r="H38" i="1"/>
  <c r="H28" i="1" s="1"/>
  <c r="H37" i="1" s="1"/>
  <c r="G38" i="1"/>
  <c r="F38" i="1"/>
  <c r="I37" i="1"/>
  <c r="O36" i="1"/>
  <c r="N36" i="1"/>
  <c r="M36" i="1"/>
  <c r="L36" i="1"/>
  <c r="P35" i="1"/>
  <c r="P36" i="1" s="1"/>
  <c r="O34" i="1"/>
  <c r="N34" i="1"/>
  <c r="M34" i="1"/>
  <c r="L34" i="1"/>
  <c r="P33" i="1"/>
  <c r="P37" i="1" s="1"/>
  <c r="O32" i="1"/>
  <c r="N32" i="1"/>
  <c r="M32" i="1"/>
  <c r="L32" i="1"/>
  <c r="Z30" i="1"/>
  <c r="Y30" i="1"/>
  <c r="O29" i="1"/>
  <c r="O38" i="1" s="1"/>
  <c r="O28" i="1" s="1"/>
  <c r="O37" i="1" s="1"/>
  <c r="L29" i="1"/>
  <c r="E29" i="1"/>
  <c r="E38" i="1" s="1"/>
  <c r="G28" i="1"/>
  <c r="G37" i="1" s="1"/>
  <c r="F28" i="1"/>
  <c r="F37" i="1" s="1"/>
  <c r="R21" i="1"/>
  <c r="P21" i="1"/>
  <c r="O21" i="1"/>
  <c r="N21" i="1"/>
  <c r="M21" i="1"/>
  <c r="L21" i="1"/>
  <c r="K21" i="1"/>
  <c r="I21" i="1"/>
  <c r="H21" i="1"/>
  <c r="G21" i="1"/>
  <c r="F21" i="1"/>
  <c r="E21" i="1"/>
  <c r="D21" i="1"/>
  <c r="W10" i="1"/>
  <c r="W17" i="1" s="1"/>
  <c r="R10" i="1"/>
  <c r="R17" i="1" s="1"/>
  <c r="O10" i="1"/>
  <c r="O9" i="1" s="1"/>
  <c r="N10" i="1"/>
  <c r="L10" i="1"/>
  <c r="L9" i="1" s="1"/>
  <c r="K10" i="1"/>
  <c r="H10" i="1"/>
  <c r="H9" i="1" s="1"/>
  <c r="G10" i="1"/>
  <c r="E10" i="1"/>
  <c r="D10" i="1"/>
  <c r="W9" i="1"/>
  <c r="R9" i="1"/>
  <c r="N9" i="1"/>
  <c r="M9" i="1"/>
  <c r="K9" i="1"/>
  <c r="G9" i="1"/>
  <c r="F9" i="1"/>
  <c r="E9" i="1"/>
  <c r="D9" i="1"/>
  <c r="S82" i="1" l="1"/>
  <c r="S76" i="1" s="1"/>
  <c r="L96" i="1" s="1"/>
  <c r="L97" i="1" s="1"/>
  <c r="H241" i="1"/>
  <c r="G57" i="1"/>
  <c r="F118" i="1"/>
  <c r="W47" i="1"/>
  <c r="Q54" i="1"/>
  <c r="L81" i="1"/>
  <c r="N119" i="1"/>
  <c r="J58" i="1"/>
  <c r="V76" i="1"/>
  <c r="O96" i="1" s="1"/>
  <c r="O97" i="1" s="1"/>
  <c r="E106" i="1"/>
  <c r="P58" i="1"/>
  <c r="E80" i="1"/>
  <c r="K106" i="1"/>
  <c r="I99" i="1"/>
  <c r="G106" i="1"/>
  <c r="J119" i="1"/>
  <c r="U146" i="1"/>
  <c r="L65" i="1"/>
  <c r="F80" i="1"/>
  <c r="F84" i="1" s="1"/>
  <c r="J99" i="1"/>
  <c r="P98" i="1"/>
  <c r="P99" i="1" s="1"/>
  <c r="D29" i="1"/>
  <c r="L66" i="1"/>
  <c r="U76" i="1"/>
  <c r="N96" i="1" s="1"/>
  <c r="N97" i="1" s="1"/>
  <c r="I58" i="1"/>
  <c r="I55" i="1"/>
  <c r="X214" i="1"/>
  <c r="W37" i="1"/>
  <c r="Q58" i="1"/>
  <c r="H80" i="1"/>
  <c r="H81" i="1" s="1"/>
  <c r="H72" i="1" s="1"/>
  <c r="V72" i="1" s="1"/>
  <c r="K82" i="1"/>
  <c r="K76" i="1" s="1"/>
  <c r="D106" i="1"/>
  <c r="I97" i="1"/>
  <c r="M114" i="1"/>
  <c r="J117" i="1"/>
  <c r="J118" i="1" s="1"/>
  <c r="T120" i="1"/>
  <c r="K29" i="1"/>
  <c r="P54" i="1"/>
  <c r="K65" i="1"/>
  <c r="T76" i="1"/>
  <c r="M96" i="1" s="1"/>
  <c r="M97" i="1" s="1"/>
  <c r="U110" i="1"/>
  <c r="O56" i="1"/>
  <c r="O55" i="1"/>
  <c r="O59" i="1" s="1"/>
  <c r="E28" i="1"/>
  <c r="D38" i="1"/>
  <c r="G56" i="1"/>
  <c r="G55" i="1"/>
  <c r="G59" i="1" s="1"/>
  <c r="L46" i="1"/>
  <c r="D58" i="1"/>
  <c r="J84" i="1"/>
  <c r="P80" i="1"/>
  <c r="K83" i="1"/>
  <c r="K78" i="1" s="1"/>
  <c r="O84" i="1"/>
  <c r="O81" i="1"/>
  <c r="H56" i="1"/>
  <c r="H55" i="1"/>
  <c r="H59" i="1" s="1"/>
  <c r="N56" i="1"/>
  <c r="N55" i="1"/>
  <c r="N59" i="1" s="1"/>
  <c r="Q84" i="1"/>
  <c r="Q81" i="1"/>
  <c r="G109" i="1"/>
  <c r="T119" i="1"/>
  <c r="D64" i="1"/>
  <c r="G65" i="1" s="1"/>
  <c r="E81" i="1"/>
  <c r="M81" i="1"/>
  <c r="L38" i="1"/>
  <c r="P38" i="1"/>
  <c r="W38" i="1" s="1"/>
  <c r="F55" i="1"/>
  <c r="F59" i="1" s="1"/>
  <c r="J55" i="1"/>
  <c r="J59" i="1" s="1"/>
  <c r="H57" i="1"/>
  <c r="D57" i="1" s="1"/>
  <c r="N57" i="1"/>
  <c r="I64" i="1"/>
  <c r="P79" i="1"/>
  <c r="F81" i="1"/>
  <c r="N81" i="1"/>
  <c r="L84" i="1"/>
  <c r="J97" i="1"/>
  <c r="Q98" i="1"/>
  <c r="Q99" i="1" s="1"/>
  <c r="L106" i="1"/>
  <c r="I110" i="1"/>
  <c r="D110" i="1" s="1"/>
  <c r="V110" i="1"/>
  <c r="M112" i="1"/>
  <c r="O114" i="1"/>
  <c r="M116" i="1"/>
  <c r="G119" i="1"/>
  <c r="O119" i="1"/>
  <c r="N120" i="1"/>
  <c r="N109" i="1" s="1"/>
  <c r="N117" i="1" s="1"/>
  <c r="D255" i="1"/>
  <c r="E160" i="1"/>
  <c r="D146" i="1"/>
  <c r="L146" i="1" s="1"/>
  <c r="Y143" i="1" s="1"/>
  <c r="P34" i="1"/>
  <c r="E46" i="1"/>
  <c r="D47" i="1"/>
  <c r="M56" i="1"/>
  <c r="O57" i="1"/>
  <c r="Q79" i="1"/>
  <c r="G80" i="1"/>
  <c r="K80" i="1"/>
  <c r="S80" i="1"/>
  <c r="S84" i="1" s="1"/>
  <c r="E84" i="1"/>
  <c r="M109" i="1"/>
  <c r="S110" i="1"/>
  <c r="L114" i="1"/>
  <c r="P114" i="1"/>
  <c r="N116" i="1"/>
  <c r="H119" i="1"/>
  <c r="L119" i="1"/>
  <c r="O120" i="1"/>
  <c r="O109" i="1" s="1"/>
  <c r="O117" i="1" s="1"/>
  <c r="Q55" i="1"/>
  <c r="J82" i="1"/>
  <c r="J81" i="1" s="1"/>
  <c r="K47" i="1"/>
  <c r="P55" i="1"/>
  <c r="L57" i="1"/>
  <c r="I73" i="1"/>
  <c r="H106" i="1"/>
  <c r="P110" i="1"/>
  <c r="Q117" i="1"/>
  <c r="E119" i="1"/>
  <c r="E118" i="1" s="1"/>
  <c r="Q119" i="1"/>
  <c r="H120" i="1"/>
  <c r="L120" i="1"/>
  <c r="S120" i="1" s="1"/>
  <c r="G255" i="1"/>
  <c r="I255" i="1"/>
  <c r="E255" i="1"/>
  <c r="H255" i="1"/>
  <c r="I160" i="1"/>
  <c r="H160" i="1"/>
  <c r="F160" i="1"/>
  <c r="L127" i="1"/>
  <c r="J160" i="1"/>
  <c r="U127" i="1"/>
  <c r="G250" i="1"/>
  <c r="F250" i="1"/>
  <c r="E250" i="1"/>
  <c r="D250" i="1"/>
  <c r="H250" i="1"/>
  <c r="F251" i="1"/>
  <c r="F255" i="1"/>
  <c r="G160" i="1"/>
  <c r="G251" i="1"/>
  <c r="V146" i="1"/>
  <c r="E248" i="1"/>
  <c r="H248" i="1"/>
  <c r="D248" i="1"/>
  <c r="G248" i="1"/>
  <c r="F248" i="1"/>
  <c r="Q59" i="1" l="1"/>
  <c r="J65" i="1"/>
  <c r="I59" i="1"/>
  <c r="T80" i="1"/>
  <c r="T84" i="1" s="1"/>
  <c r="K58" i="1"/>
  <c r="K53" i="1" s="1"/>
  <c r="P59" i="1"/>
  <c r="U119" i="1"/>
  <c r="V119" i="1"/>
  <c r="S146" i="1"/>
  <c r="N118" i="1"/>
  <c r="H84" i="1"/>
  <c r="R29" i="1"/>
  <c r="V81" i="1"/>
  <c r="Q118" i="1"/>
  <c r="K57" i="1"/>
  <c r="V80" i="1"/>
  <c r="V84" i="1" s="1"/>
  <c r="S127" i="1"/>
  <c r="W58" i="1"/>
  <c r="Z46" i="1" s="1"/>
  <c r="P120" i="1"/>
  <c r="P119" i="1"/>
  <c r="K119" i="1" s="1"/>
  <c r="P117" i="1"/>
  <c r="W55" i="1"/>
  <c r="D35" i="1"/>
  <c r="F252" i="1"/>
  <c r="K110" i="1"/>
  <c r="R47" i="1"/>
  <c r="X47" i="1" s="1"/>
  <c r="I119" i="1"/>
  <c r="D119" i="1" s="1"/>
  <c r="I117" i="1"/>
  <c r="W110" i="1"/>
  <c r="Y110" i="1" s="1"/>
  <c r="I120" i="1"/>
  <c r="W120" i="1" s="1"/>
  <c r="T81" i="1"/>
  <c r="F72" i="1"/>
  <c r="T72" i="1" s="1"/>
  <c r="I65" i="1"/>
  <c r="U120" i="1"/>
  <c r="P81" i="1"/>
  <c r="K81" i="1" s="1"/>
  <c r="K74" i="1" s="1"/>
  <c r="P84" i="1"/>
  <c r="E65" i="1"/>
  <c r="L55" i="1"/>
  <c r="K46" i="1"/>
  <c r="L56" i="1"/>
  <c r="K56" i="1" s="1"/>
  <c r="D28" i="1"/>
  <c r="E37" i="1"/>
  <c r="D37" i="1" s="1"/>
  <c r="H65" i="1"/>
  <c r="G84" i="1"/>
  <c r="G81" i="1"/>
  <c r="U80" i="1"/>
  <c r="U84" i="1" s="1"/>
  <c r="K127" i="1"/>
  <c r="S119" i="1"/>
  <c r="I82" i="1"/>
  <c r="D82" i="1" s="1"/>
  <c r="K66" i="1"/>
  <c r="I83" i="1"/>
  <c r="W73" i="1"/>
  <c r="D73" i="1"/>
  <c r="R73" i="1" s="1"/>
  <c r="O118" i="1"/>
  <c r="E55" i="1"/>
  <c r="E56" i="1"/>
  <c r="D56" i="1" s="1"/>
  <c r="D46" i="1"/>
  <c r="D256" i="1"/>
  <c r="K146" i="1"/>
  <c r="X142" i="1" s="1"/>
  <c r="G204" i="1"/>
  <c r="J204" i="1"/>
  <c r="F204" i="1"/>
  <c r="I204" i="1"/>
  <c r="E204" i="1"/>
  <c r="H181" i="1"/>
  <c r="H204" i="1"/>
  <c r="G181" i="1"/>
  <c r="J181" i="1"/>
  <c r="F181" i="1"/>
  <c r="I159" i="1"/>
  <c r="E159" i="1"/>
  <c r="H159" i="1"/>
  <c r="I181" i="1"/>
  <c r="G159" i="1"/>
  <c r="J159" i="1"/>
  <c r="F159" i="1"/>
  <c r="E181" i="1"/>
  <c r="S81" i="1"/>
  <c r="S74" i="1" s="1"/>
  <c r="L94" i="1" s="1"/>
  <c r="L95" i="1" s="1"/>
  <c r="E72" i="1"/>
  <c r="U109" i="1"/>
  <c r="G117" i="1"/>
  <c r="F65" i="1"/>
  <c r="D53" i="1"/>
  <c r="K61" i="1" s="1"/>
  <c r="R58" i="1"/>
  <c r="J61" i="1"/>
  <c r="H109" i="1"/>
  <c r="V120" i="1"/>
  <c r="G252" i="1"/>
  <c r="K120" i="1"/>
  <c r="L109" i="1"/>
  <c r="M117" i="1"/>
  <c r="T109" i="1"/>
  <c r="K84" i="1"/>
  <c r="D251" i="1"/>
  <c r="K38" i="1"/>
  <c r="K35" i="1" s="1"/>
  <c r="L28" i="1"/>
  <c r="V74" i="1"/>
  <c r="O94" i="1" s="1"/>
  <c r="O95" i="1" s="1"/>
  <c r="D120" i="1" l="1"/>
  <c r="D115" i="1" s="1"/>
  <c r="R46" i="1"/>
  <c r="W59" i="1"/>
  <c r="W119" i="1"/>
  <c r="P118" i="1"/>
  <c r="R119" i="1"/>
  <c r="L37" i="1"/>
  <c r="K37" i="1" s="1"/>
  <c r="R37" i="1" s="1"/>
  <c r="K28" i="1"/>
  <c r="R28" i="1" s="1"/>
  <c r="K115" i="1"/>
  <c r="M92" i="1"/>
  <c r="E92" i="1"/>
  <c r="L92" i="1"/>
  <c r="H92" i="1"/>
  <c r="O92" i="1"/>
  <c r="G92" i="1"/>
  <c r="N92" i="1"/>
  <c r="F92" i="1"/>
  <c r="D76" i="1"/>
  <c r="R82" i="1"/>
  <c r="R76" i="1" s="1"/>
  <c r="I118" i="1"/>
  <c r="W117" i="1"/>
  <c r="E252" i="1"/>
  <c r="H252" i="1"/>
  <c r="K109" i="1"/>
  <c r="L117" i="1"/>
  <c r="S109" i="1"/>
  <c r="U117" i="1"/>
  <c r="G118" i="1"/>
  <c r="D117" i="1"/>
  <c r="I66" i="1"/>
  <c r="K67" i="1" s="1"/>
  <c r="D66" i="1"/>
  <c r="M118" i="1"/>
  <c r="T118" i="1" s="1"/>
  <c r="T117" i="1"/>
  <c r="R53" i="1"/>
  <c r="Z45" i="1"/>
  <c r="L160" i="1"/>
  <c r="Q92" i="1"/>
  <c r="P92" i="1"/>
  <c r="J92" i="1"/>
  <c r="I92" i="1"/>
  <c r="L59" i="1"/>
  <c r="K55" i="1"/>
  <c r="K59" i="1" s="1"/>
  <c r="T74" i="1"/>
  <c r="M94" i="1" s="1"/>
  <c r="M95" i="1" s="1"/>
  <c r="P204" i="1"/>
  <c r="L204" i="1"/>
  <c r="O204" i="1"/>
  <c r="N204" i="1"/>
  <c r="M204" i="1"/>
  <c r="Q181" i="1"/>
  <c r="M181" i="1"/>
  <c r="P181" i="1"/>
  <c r="L181" i="1"/>
  <c r="O181" i="1"/>
  <c r="N159" i="1"/>
  <c r="Q204" i="1"/>
  <c r="N181" i="1"/>
  <c r="Q159" i="1"/>
  <c r="M159" i="1"/>
  <c r="P159" i="1"/>
  <c r="L159" i="1"/>
  <c r="O159" i="1"/>
  <c r="R120" i="1"/>
  <c r="H117" i="1"/>
  <c r="V109" i="1"/>
  <c r="D109" i="1"/>
  <c r="R109" i="1" s="1"/>
  <c r="D252" i="1"/>
  <c r="I251" i="1"/>
  <c r="D55" i="1"/>
  <c r="E59" i="1"/>
  <c r="I80" i="1"/>
  <c r="W83" i="1"/>
  <c r="Z72" i="1" s="1"/>
  <c r="D83" i="1"/>
  <c r="I256" i="1"/>
  <c r="E256" i="1"/>
  <c r="H256" i="1"/>
  <c r="Q160" i="1"/>
  <c r="M160" i="1"/>
  <c r="P160" i="1"/>
  <c r="X127" i="1"/>
  <c r="F256" i="1"/>
  <c r="N160" i="1"/>
  <c r="O160" i="1"/>
  <c r="G256" i="1"/>
  <c r="G72" i="1"/>
  <c r="U72" i="1" s="1"/>
  <c r="U81" i="1"/>
  <c r="R110" i="1"/>
  <c r="R38" i="1"/>
  <c r="R35" i="1" s="1"/>
  <c r="W118" i="1" l="1"/>
  <c r="U74" i="1"/>
  <c r="N94" i="1" s="1"/>
  <c r="N95" i="1" s="1"/>
  <c r="Q103" i="1"/>
  <c r="Q102" i="1"/>
  <c r="Q100" i="1"/>
  <c r="L118" i="1"/>
  <c r="K117" i="1"/>
  <c r="R117" i="1" s="1"/>
  <c r="S117" i="1"/>
  <c r="G147" i="1"/>
  <c r="N129" i="1"/>
  <c r="R83" i="1"/>
  <c r="D78" i="1"/>
  <c r="K79" i="1" s="1"/>
  <c r="D59" i="1"/>
  <c r="R55" i="1"/>
  <c r="R59" i="1" s="1"/>
  <c r="I103" i="1"/>
  <c r="I91" i="1"/>
  <c r="K68" i="1"/>
  <c r="I102" i="1"/>
  <c r="I100" i="1"/>
  <c r="J67" i="1"/>
  <c r="F67" i="1"/>
  <c r="H67" i="1"/>
  <c r="G67" i="1"/>
  <c r="E67" i="1"/>
  <c r="U118" i="1"/>
  <c r="N103" i="1"/>
  <c r="N91" i="1" s="1"/>
  <c r="N100" i="1" s="1"/>
  <c r="N102" i="1"/>
  <c r="L102" i="1"/>
  <c r="L103" i="1"/>
  <c r="K92" i="1"/>
  <c r="F68" i="1"/>
  <c r="T92" i="1"/>
  <c r="F102" i="1"/>
  <c r="F103" i="1"/>
  <c r="H118" i="1"/>
  <c r="V118" i="1" s="1"/>
  <c r="V117" i="1"/>
  <c r="J103" i="1"/>
  <c r="J100" i="1"/>
  <c r="J102" i="1"/>
  <c r="L68" i="1"/>
  <c r="D72" i="1"/>
  <c r="R72" i="1" s="1"/>
  <c r="I67" i="1"/>
  <c r="L67" i="1"/>
  <c r="U92" i="1"/>
  <c r="G102" i="1"/>
  <c r="G68" i="1"/>
  <c r="G103" i="1"/>
  <c r="E103" i="1"/>
  <c r="E102" i="1"/>
  <c r="D92" i="1"/>
  <c r="E68" i="1"/>
  <c r="S92" i="1"/>
  <c r="F149" i="1"/>
  <c r="F136" i="1"/>
  <c r="H102" i="1"/>
  <c r="H103" i="1"/>
  <c r="H68" i="1"/>
  <c r="V92" i="1"/>
  <c r="M189" i="1"/>
  <c r="F189" i="1"/>
  <c r="M167" i="1"/>
  <c r="F167" i="1"/>
  <c r="N167" i="1"/>
  <c r="H167" i="1"/>
  <c r="E167" i="1"/>
  <c r="G189" i="1"/>
  <c r="E189" i="1"/>
  <c r="O189" i="1"/>
  <c r="G167" i="1"/>
  <c r="L189" i="1"/>
  <c r="L167" i="1"/>
  <c r="N189" i="1"/>
  <c r="O167" i="1"/>
  <c r="H189" i="1"/>
  <c r="I81" i="1"/>
  <c r="D81" i="1" s="1"/>
  <c r="I84" i="1"/>
  <c r="W80" i="1"/>
  <c r="W84" i="1" s="1"/>
  <c r="D80" i="1"/>
  <c r="R115" i="1"/>
  <c r="P102" i="1"/>
  <c r="P100" i="1"/>
  <c r="P103" i="1"/>
  <c r="P91" i="1"/>
  <c r="O102" i="1"/>
  <c r="O103" i="1"/>
  <c r="O91" i="1" s="1"/>
  <c r="O100" i="1" s="1"/>
  <c r="M103" i="1"/>
  <c r="M91" i="1" s="1"/>
  <c r="M100" i="1" s="1"/>
  <c r="M102" i="1"/>
  <c r="K116" i="1"/>
  <c r="U102" i="1" l="1"/>
  <c r="U96" i="1" s="1"/>
  <c r="K102" i="1"/>
  <c r="D68" i="1"/>
  <c r="H62" i="1" s="1"/>
  <c r="P104" i="1"/>
  <c r="P101" i="1"/>
  <c r="D102" i="1"/>
  <c r="S102" i="1"/>
  <c r="S96" i="1" s="1"/>
  <c r="W103" i="1"/>
  <c r="Z91" i="1" s="1"/>
  <c r="G169" i="1"/>
  <c r="N147" i="1"/>
  <c r="N148" i="1" s="1"/>
  <c r="Q104" i="1"/>
  <c r="Q101" i="1"/>
  <c r="E149" i="1"/>
  <c r="E136" i="1"/>
  <c r="J149" i="1"/>
  <c r="J134" i="1"/>
  <c r="D74" i="1"/>
  <c r="R81" i="1"/>
  <c r="R74" i="1" s="1"/>
  <c r="I149" i="1"/>
  <c r="I134" i="1"/>
  <c r="O205" i="1"/>
  <c r="V167" i="1"/>
  <c r="J136" i="1"/>
  <c r="H149" i="1"/>
  <c r="I136" i="1"/>
  <c r="H136" i="1"/>
  <c r="V102" i="1"/>
  <c r="V96" i="1" s="1"/>
  <c r="E91" i="1"/>
  <c r="D103" i="1"/>
  <c r="S103" i="1"/>
  <c r="F62" i="1"/>
  <c r="H151" i="1"/>
  <c r="H137" i="1"/>
  <c r="O101" i="1"/>
  <c r="O104" i="1"/>
  <c r="D211" i="1"/>
  <c r="Z186" i="1"/>
  <c r="T189" i="1"/>
  <c r="V103" i="1"/>
  <c r="H91" i="1"/>
  <c r="J101" i="1"/>
  <c r="J104" i="1"/>
  <c r="I104" i="1"/>
  <c r="W100" i="1"/>
  <c r="I101" i="1"/>
  <c r="D84" i="1"/>
  <c r="R80" i="1"/>
  <c r="R84" i="1" s="1"/>
  <c r="O182" i="1"/>
  <c r="K167" i="1"/>
  <c r="G182" i="1"/>
  <c r="U167" i="1"/>
  <c r="E211" i="1"/>
  <c r="G205" i="1"/>
  <c r="U189" i="1"/>
  <c r="Y165" i="1"/>
  <c r="D167" i="1"/>
  <c r="S167" i="1"/>
  <c r="Z165" i="1"/>
  <c r="T167" i="1"/>
  <c r="U103" i="1"/>
  <c r="G91" i="1"/>
  <c r="G149" i="1"/>
  <c r="G136" i="1"/>
  <c r="T103" i="1"/>
  <c r="F91" i="1"/>
  <c r="F151" i="1"/>
  <c r="F137" i="1"/>
  <c r="N101" i="1"/>
  <c r="N104" i="1"/>
  <c r="D118" i="1"/>
  <c r="I68" i="1"/>
  <c r="R78" i="1"/>
  <c r="Z71" i="1"/>
  <c r="R85" i="1"/>
  <c r="M129" i="1"/>
  <c r="F147" i="1"/>
  <c r="F155" i="1"/>
  <c r="F171" i="1"/>
  <c r="F177" i="1" s="1"/>
  <c r="M149" i="1"/>
  <c r="M104" i="1"/>
  <c r="M101" i="1"/>
  <c r="V189" i="1"/>
  <c r="F211" i="1"/>
  <c r="E182" i="1"/>
  <c r="K189" i="1"/>
  <c r="C211" i="1"/>
  <c r="E205" i="1"/>
  <c r="D189" i="1"/>
  <c r="Y186" i="1"/>
  <c r="S189" i="1"/>
  <c r="M182" i="1"/>
  <c r="M131" i="1"/>
  <c r="M136" i="1"/>
  <c r="T136" i="1" s="1"/>
  <c r="T130" i="1" s="1"/>
  <c r="G151" i="1"/>
  <c r="G137" i="1"/>
  <c r="E151" i="1"/>
  <c r="E137" i="1"/>
  <c r="T102" i="1"/>
  <c r="T96" i="1" s="1"/>
  <c r="K103" i="1"/>
  <c r="K98" i="1" s="1"/>
  <c r="L91" i="1"/>
  <c r="W91" i="1"/>
  <c r="K118" i="1"/>
  <c r="S118" i="1"/>
  <c r="I62" i="1" l="1"/>
  <c r="G62" i="1"/>
  <c r="E62" i="1"/>
  <c r="W104" i="1"/>
  <c r="R118" i="1"/>
  <c r="F205" i="1"/>
  <c r="R102" i="1"/>
  <c r="R96" i="1" s="1"/>
  <c r="L62" i="1"/>
  <c r="H205" i="1"/>
  <c r="M133" i="1"/>
  <c r="M137" i="1"/>
  <c r="M126" i="1" s="1"/>
  <c r="M134" i="1" s="1"/>
  <c r="H147" i="1"/>
  <c r="O129" i="1"/>
  <c r="H171" i="1"/>
  <c r="J155" i="1"/>
  <c r="I155" i="1"/>
  <c r="H155" i="1"/>
  <c r="O149" i="1"/>
  <c r="Q131" i="1"/>
  <c r="Q134" i="1"/>
  <c r="Q132" i="1"/>
  <c r="N133" i="1"/>
  <c r="N137" i="1"/>
  <c r="N126" i="1" s="1"/>
  <c r="N134" i="1" s="1"/>
  <c r="M155" i="1"/>
  <c r="T155" i="1" s="1"/>
  <c r="T149" i="1" s="1"/>
  <c r="M150" i="1"/>
  <c r="F169" i="1"/>
  <c r="M147" i="1"/>
  <c r="M148" i="1" s="1"/>
  <c r="F126" i="1"/>
  <c r="N131" i="1"/>
  <c r="N136" i="1"/>
  <c r="G100" i="1"/>
  <c r="U91" i="1"/>
  <c r="Q182" i="1"/>
  <c r="P182" i="1"/>
  <c r="L182" i="1"/>
  <c r="H173" i="1"/>
  <c r="H156" i="1"/>
  <c r="O151" i="1"/>
  <c r="J135" i="1"/>
  <c r="L131" i="1"/>
  <c r="L136" i="1"/>
  <c r="E126" i="1"/>
  <c r="I153" i="1"/>
  <c r="P149" i="1"/>
  <c r="I171" i="1"/>
  <c r="I151" i="1"/>
  <c r="I137" i="1"/>
  <c r="J151" i="1"/>
  <c r="J137" i="1"/>
  <c r="J138" i="1" s="1"/>
  <c r="G126" i="1"/>
  <c r="H211" i="1"/>
  <c r="J182" i="1"/>
  <c r="I182" i="1"/>
  <c r="M171" i="1"/>
  <c r="F192" i="1"/>
  <c r="E147" i="1"/>
  <c r="L129" i="1"/>
  <c r="K62" i="1"/>
  <c r="J205" i="1"/>
  <c r="I205" i="1"/>
  <c r="N205" i="1"/>
  <c r="O136" i="1"/>
  <c r="V136" i="1" s="1"/>
  <c r="V130" i="1" s="1"/>
  <c r="Q136" i="1"/>
  <c r="O131" i="1"/>
  <c r="P136" i="1"/>
  <c r="H182" i="1"/>
  <c r="P131" i="1"/>
  <c r="P134" i="1"/>
  <c r="W134" i="1" s="1"/>
  <c r="P132" i="1"/>
  <c r="J153" i="1"/>
  <c r="J171" i="1"/>
  <c r="Q149" i="1"/>
  <c r="E171" i="1"/>
  <c r="L149" i="1"/>
  <c r="E155" i="1"/>
  <c r="G190" i="1"/>
  <c r="N169" i="1"/>
  <c r="N170" i="1" s="1"/>
  <c r="X185" i="1"/>
  <c r="T91" i="1"/>
  <c r="F100" i="1"/>
  <c r="G171" i="1"/>
  <c r="N149" i="1"/>
  <c r="G155" i="1"/>
  <c r="H100" i="1"/>
  <c r="V91" i="1"/>
  <c r="H126" i="1"/>
  <c r="S91" i="1"/>
  <c r="D91" i="1"/>
  <c r="E100" i="1"/>
  <c r="K91" i="1"/>
  <c r="L100" i="1"/>
  <c r="L133" i="1"/>
  <c r="L137" i="1"/>
  <c r="S137" i="1" s="1"/>
  <c r="L151" i="1"/>
  <c r="E173" i="1"/>
  <c r="E156" i="1"/>
  <c r="G173" i="1"/>
  <c r="N151" i="1"/>
  <c r="G156" i="1"/>
  <c r="P205" i="1"/>
  <c r="Q205" i="1"/>
  <c r="L205" i="1"/>
  <c r="M151" i="1"/>
  <c r="F173" i="1"/>
  <c r="F156" i="1"/>
  <c r="U136" i="1"/>
  <c r="U130" i="1" s="1"/>
  <c r="F182" i="1"/>
  <c r="X163" i="1"/>
  <c r="O137" i="1"/>
  <c r="V137" i="1" s="1"/>
  <c r="O133" i="1"/>
  <c r="D98" i="1"/>
  <c r="R103" i="1"/>
  <c r="M205" i="1"/>
  <c r="N182" i="1"/>
  <c r="I135" i="1"/>
  <c r="D136" i="1"/>
  <c r="U137" i="1" l="1"/>
  <c r="T137" i="1"/>
  <c r="L152" i="1"/>
  <c r="E172" i="1" s="1"/>
  <c r="L156" i="1"/>
  <c r="S156" i="1" s="1"/>
  <c r="F222" i="1"/>
  <c r="M192" i="1"/>
  <c r="F198" i="1"/>
  <c r="P151" i="1"/>
  <c r="P153" i="1"/>
  <c r="P150" i="1"/>
  <c r="F190" i="1"/>
  <c r="M169" i="1"/>
  <c r="M170" i="1" s="1"/>
  <c r="F170" i="1"/>
  <c r="Q133" i="1"/>
  <c r="Q137" i="1"/>
  <c r="Q138" i="1" s="1"/>
  <c r="F145" i="1"/>
  <c r="N152" i="1"/>
  <c r="G172" i="1" s="1"/>
  <c r="N156" i="1"/>
  <c r="N145" i="1" s="1"/>
  <c r="N153" i="1" s="1"/>
  <c r="L126" i="1"/>
  <c r="G192" i="1"/>
  <c r="N171" i="1"/>
  <c r="G177" i="1"/>
  <c r="E192" i="1"/>
  <c r="L171" i="1"/>
  <c r="E177" i="1"/>
  <c r="P137" i="1"/>
  <c r="P133" i="1"/>
  <c r="I154" i="1"/>
  <c r="E134" i="1"/>
  <c r="D126" i="1"/>
  <c r="O152" i="1"/>
  <c r="H172" i="1" s="1"/>
  <c r="O156" i="1"/>
  <c r="Q135" i="1"/>
  <c r="H169" i="1"/>
  <c r="O147" i="1"/>
  <c r="O148" i="1" s="1"/>
  <c r="M135" i="1"/>
  <c r="M138" i="1"/>
  <c r="L150" i="1"/>
  <c r="L155" i="1"/>
  <c r="S155" i="1" s="1"/>
  <c r="S149" i="1" s="1"/>
  <c r="G101" i="1"/>
  <c r="U101" i="1" s="1"/>
  <c r="U94" i="1" s="1"/>
  <c r="G104" i="1"/>
  <c r="U100" i="1"/>
  <c r="U104" i="1" s="1"/>
  <c r="F194" i="1"/>
  <c r="M173" i="1"/>
  <c r="F178" i="1"/>
  <c r="G194" i="1"/>
  <c r="N173" i="1"/>
  <c r="G178" i="1"/>
  <c r="E145" i="1"/>
  <c r="E104" i="1"/>
  <c r="S100" i="1"/>
  <c r="S104" i="1" s="1"/>
  <c r="D100" i="1"/>
  <c r="E101" i="1"/>
  <c r="H134" i="1"/>
  <c r="H104" i="1"/>
  <c r="V100" i="1"/>
  <c r="V104" i="1" s="1"/>
  <c r="H101" i="1"/>
  <c r="V101" i="1" s="1"/>
  <c r="V94" i="1" s="1"/>
  <c r="F101" i="1"/>
  <c r="T101" i="1" s="1"/>
  <c r="T94" i="1" s="1"/>
  <c r="F104" i="1"/>
  <c r="T100" i="1"/>
  <c r="T104" i="1" s="1"/>
  <c r="G220" i="1"/>
  <c r="N220" i="1" s="1"/>
  <c r="N221" i="1" s="1"/>
  <c r="N190" i="1"/>
  <c r="N191" i="1" s="1"/>
  <c r="Q151" i="1"/>
  <c r="Q153" i="1"/>
  <c r="Q150" i="1"/>
  <c r="P135" i="1"/>
  <c r="M172" i="1"/>
  <c r="M177" i="1"/>
  <c r="T177" i="1" s="1"/>
  <c r="T171" i="1" s="1"/>
  <c r="D137" i="1"/>
  <c r="H145" i="1"/>
  <c r="O150" i="1"/>
  <c r="Q155" i="1"/>
  <c r="P155" i="1"/>
  <c r="O155" i="1"/>
  <c r="V155" i="1" s="1"/>
  <c r="V149" i="1" s="1"/>
  <c r="J177" i="1"/>
  <c r="H192" i="1"/>
  <c r="I177" i="1"/>
  <c r="O171" i="1"/>
  <c r="H177" i="1"/>
  <c r="Z90" i="1"/>
  <c r="R105" i="1"/>
  <c r="R98" i="1"/>
  <c r="R99" i="1" s="1"/>
  <c r="G145" i="1"/>
  <c r="N150" i="1"/>
  <c r="G170" i="1" s="1"/>
  <c r="N155" i="1"/>
  <c r="U155" i="1" s="1"/>
  <c r="U149" i="1" s="1"/>
  <c r="J154" i="1"/>
  <c r="E169" i="1"/>
  <c r="L147" i="1"/>
  <c r="L148" i="1" s="1"/>
  <c r="K136" i="1"/>
  <c r="R136" i="1" s="1"/>
  <c r="R130" i="1" s="1"/>
  <c r="S136" i="1"/>
  <c r="S130" i="1" s="1"/>
  <c r="I138" i="1"/>
  <c r="O126" i="1"/>
  <c r="O134" i="1" s="1"/>
  <c r="M152" i="1"/>
  <c r="F172" i="1" s="1"/>
  <c r="M156" i="1"/>
  <c r="M145" i="1" s="1"/>
  <c r="M153" i="1" s="1"/>
  <c r="L173" i="1"/>
  <c r="E194" i="1"/>
  <c r="E178" i="1"/>
  <c r="K100" i="1"/>
  <c r="K104" i="1" s="1"/>
  <c r="L101" i="1"/>
  <c r="K101" i="1" s="1"/>
  <c r="L104" i="1"/>
  <c r="R91" i="1"/>
  <c r="D155" i="1"/>
  <c r="J175" i="1"/>
  <c r="Q171" i="1"/>
  <c r="J192" i="1"/>
  <c r="U126" i="1"/>
  <c r="G134" i="1"/>
  <c r="J173" i="1"/>
  <c r="J156" i="1"/>
  <c r="J157" i="1" s="1"/>
  <c r="I173" i="1"/>
  <c r="I156" i="1"/>
  <c r="I192" i="1"/>
  <c r="I175" i="1"/>
  <c r="P171" i="1"/>
  <c r="H194" i="1"/>
  <c r="O173" i="1"/>
  <c r="H178" i="1"/>
  <c r="F134" i="1"/>
  <c r="T126" i="1"/>
  <c r="N135" i="1"/>
  <c r="N138" i="1"/>
  <c r="W137" i="1" l="1"/>
  <c r="W138" i="1" s="1"/>
  <c r="U156" i="1"/>
  <c r="W153" i="1"/>
  <c r="O145" i="1"/>
  <c r="O153" i="1" s="1"/>
  <c r="O157" i="1" s="1"/>
  <c r="Q152" i="1"/>
  <c r="J172" i="1" s="1"/>
  <c r="Q156" i="1"/>
  <c r="Q157" i="1" s="1"/>
  <c r="H138" i="1"/>
  <c r="V134" i="1"/>
  <c r="V138" i="1" s="1"/>
  <c r="H135" i="1"/>
  <c r="F166" i="1"/>
  <c r="K126" i="1"/>
  <c r="R126" i="1" s="1"/>
  <c r="L134" i="1"/>
  <c r="S134" i="1" s="1"/>
  <c r="S138" i="1" s="1"/>
  <c r="I222" i="1"/>
  <c r="I196" i="1"/>
  <c r="P192" i="1"/>
  <c r="J178" i="1"/>
  <c r="J179" i="1" s="1"/>
  <c r="J194" i="1"/>
  <c r="Q173" i="1"/>
  <c r="Q175" i="1"/>
  <c r="Q172" i="1"/>
  <c r="E224" i="1"/>
  <c r="L194" i="1"/>
  <c r="E199" i="1"/>
  <c r="O138" i="1"/>
  <c r="O135" i="1"/>
  <c r="U145" i="1"/>
  <c r="G153" i="1"/>
  <c r="Q177" i="1"/>
  <c r="P177" i="1"/>
  <c r="O172" i="1"/>
  <c r="O177" i="1"/>
  <c r="V177" i="1" s="1"/>
  <c r="V171" i="1" s="1"/>
  <c r="P138" i="1"/>
  <c r="S101" i="1"/>
  <c r="S94" i="1" s="1"/>
  <c r="D101" i="1"/>
  <c r="R101" i="1" s="1"/>
  <c r="R94" i="1" s="1"/>
  <c r="E153" i="1"/>
  <c r="D145" i="1"/>
  <c r="N174" i="1"/>
  <c r="N178" i="1"/>
  <c r="N166" i="1" s="1"/>
  <c r="N175" i="1" s="1"/>
  <c r="M174" i="1"/>
  <c r="M178" i="1"/>
  <c r="M166" i="1" s="1"/>
  <c r="M175" i="1" s="1"/>
  <c r="E135" i="1"/>
  <c r="D134" i="1"/>
  <c r="E138" i="1"/>
  <c r="D177" i="1"/>
  <c r="N172" i="1"/>
  <c r="N177" i="1"/>
  <c r="U177" i="1" s="1"/>
  <c r="U171" i="1" s="1"/>
  <c r="K137" i="1"/>
  <c r="K132" i="1" s="1"/>
  <c r="N154" i="1"/>
  <c r="G174" i="1" s="1"/>
  <c r="N157" i="1"/>
  <c r="F153" i="1"/>
  <c r="T145" i="1"/>
  <c r="M193" i="1"/>
  <c r="M198" i="1"/>
  <c r="T198" i="1" s="1"/>
  <c r="Q192" i="1"/>
  <c r="J196" i="1"/>
  <c r="J222" i="1"/>
  <c r="G166" i="1"/>
  <c r="O154" i="1"/>
  <c r="H174" i="1" s="1"/>
  <c r="E222" i="1"/>
  <c r="L192" i="1"/>
  <c r="E198" i="1"/>
  <c r="F135" i="1"/>
  <c r="T135" i="1" s="1"/>
  <c r="F138" i="1"/>
  <c r="T134" i="1"/>
  <c r="T138" i="1" s="1"/>
  <c r="H224" i="1"/>
  <c r="O194" i="1"/>
  <c r="H199" i="1"/>
  <c r="G138" i="1"/>
  <c r="U134" i="1"/>
  <c r="U138" i="1" s="1"/>
  <c r="G135" i="1"/>
  <c r="U135" i="1" s="1"/>
  <c r="J176" i="1"/>
  <c r="L174" i="1"/>
  <c r="L178" i="1"/>
  <c r="S178" i="1" s="1"/>
  <c r="E190" i="1"/>
  <c r="L169" i="1"/>
  <c r="L170" i="1" s="1"/>
  <c r="E170" i="1"/>
  <c r="H153" i="1"/>
  <c r="D104" i="1"/>
  <c r="R100" i="1"/>
  <c r="R104" i="1" s="1"/>
  <c r="K155" i="1"/>
  <c r="R155" i="1" s="1"/>
  <c r="R149" i="1" s="1"/>
  <c r="T156" i="1"/>
  <c r="F220" i="1"/>
  <c r="M220" i="1" s="1"/>
  <c r="M221" i="1" s="1"/>
  <c r="M190" i="1"/>
  <c r="M191" i="1" s="1"/>
  <c r="P154" i="1"/>
  <c r="I174" i="1" s="1"/>
  <c r="M222" i="1"/>
  <c r="F228" i="1"/>
  <c r="L145" i="1"/>
  <c r="S145" i="1" s="1"/>
  <c r="O174" i="1"/>
  <c r="O178" i="1"/>
  <c r="I176" i="1"/>
  <c r="V178" i="1"/>
  <c r="H166" i="1"/>
  <c r="P173" i="1"/>
  <c r="P175" i="1"/>
  <c r="P172" i="1"/>
  <c r="I178" i="1"/>
  <c r="I179" i="1" s="1"/>
  <c r="I194" i="1"/>
  <c r="E166" i="1"/>
  <c r="M154" i="1"/>
  <c r="F174" i="1" s="1"/>
  <c r="M157" i="1"/>
  <c r="I198" i="1"/>
  <c r="H222" i="1"/>
  <c r="O192" i="1"/>
  <c r="J198" i="1"/>
  <c r="H198" i="1"/>
  <c r="V156" i="1"/>
  <c r="D132" i="1"/>
  <c r="Q154" i="1"/>
  <c r="J174" i="1" s="1"/>
  <c r="V126" i="1"/>
  <c r="D156" i="1"/>
  <c r="G224" i="1"/>
  <c r="N194" i="1"/>
  <c r="G199" i="1"/>
  <c r="F224" i="1"/>
  <c r="M194" i="1"/>
  <c r="F199" i="1"/>
  <c r="H190" i="1"/>
  <c r="H170" i="1"/>
  <c r="O169" i="1"/>
  <c r="O170" i="1" s="1"/>
  <c r="S126" i="1"/>
  <c r="I157" i="1"/>
  <c r="L172" i="1"/>
  <c r="L177" i="1"/>
  <c r="G222" i="1"/>
  <c r="N192" i="1"/>
  <c r="G198" i="1"/>
  <c r="P156" i="1"/>
  <c r="P157" i="1" s="1"/>
  <c r="P152" i="1"/>
  <c r="I172" i="1" s="1"/>
  <c r="Z126" i="1" l="1"/>
  <c r="D178" i="1"/>
  <c r="D173" i="1" s="1"/>
  <c r="W156" i="1"/>
  <c r="Z141" i="1" s="1"/>
  <c r="K177" i="1"/>
  <c r="R177" i="1" s="1"/>
  <c r="R171" i="1" s="1"/>
  <c r="R137" i="1"/>
  <c r="Z125" i="1" s="1"/>
  <c r="V145" i="1"/>
  <c r="V135" i="1"/>
  <c r="L190" i="1"/>
  <c r="L191" i="1" s="1"/>
  <c r="E220" i="1"/>
  <c r="L220" i="1" s="1"/>
  <c r="L221" i="1" s="1"/>
  <c r="H188" i="1"/>
  <c r="D198" i="1"/>
  <c r="Q196" i="1"/>
  <c r="Q193" i="1"/>
  <c r="Q194" i="1"/>
  <c r="N193" i="1"/>
  <c r="N198" i="1"/>
  <c r="U198" i="1" s="1"/>
  <c r="N195" i="1"/>
  <c r="N199" i="1"/>
  <c r="N188" i="1" s="1"/>
  <c r="E175" i="1"/>
  <c r="D166" i="1"/>
  <c r="I199" i="1"/>
  <c r="I200" i="1" s="1"/>
  <c r="I224" i="1"/>
  <c r="I229" i="1" s="1"/>
  <c r="P176" i="1"/>
  <c r="H175" i="1"/>
  <c r="M228" i="1"/>
  <c r="T228" i="1" s="1"/>
  <c r="T222" i="1" s="1"/>
  <c r="M223" i="1"/>
  <c r="H157" i="1"/>
  <c r="V153" i="1"/>
  <c r="V157" i="1" s="1"/>
  <c r="H154" i="1"/>
  <c r="V154" i="1" s="1"/>
  <c r="O195" i="1"/>
  <c r="O199" i="1"/>
  <c r="L193" i="1"/>
  <c r="L198" i="1"/>
  <c r="S198" i="1" s="1"/>
  <c r="D135" i="1"/>
  <c r="M176" i="1"/>
  <c r="M179" i="1"/>
  <c r="E188" i="1"/>
  <c r="Q178" i="1"/>
  <c r="Q179" i="1" s="1"/>
  <c r="Q174" i="1"/>
  <c r="I197" i="1"/>
  <c r="G188" i="1"/>
  <c r="F154" i="1"/>
  <c r="T154" i="1" s="1"/>
  <c r="F157" i="1"/>
  <c r="T153" i="1"/>
  <c r="T157" i="1" s="1"/>
  <c r="D138" i="1"/>
  <c r="P196" i="1"/>
  <c r="W196" i="1" s="1"/>
  <c r="P194" i="1"/>
  <c r="P193" i="1"/>
  <c r="M195" i="1"/>
  <c r="M199" i="1"/>
  <c r="M188" i="1" s="1"/>
  <c r="Q198" i="1"/>
  <c r="P198" i="1"/>
  <c r="O193" i="1"/>
  <c r="O198" i="1"/>
  <c r="V198" i="1" s="1"/>
  <c r="L166" i="1"/>
  <c r="O224" i="1"/>
  <c r="H229" i="1"/>
  <c r="E228" i="1"/>
  <c r="L222" i="1"/>
  <c r="G175" i="1"/>
  <c r="U166" i="1"/>
  <c r="Q222" i="1"/>
  <c r="J226" i="1"/>
  <c r="S177" i="1"/>
  <c r="S171" i="1" s="1"/>
  <c r="N179" i="1"/>
  <c r="N176" i="1"/>
  <c r="E154" i="1"/>
  <c r="D153" i="1"/>
  <c r="E157" i="1"/>
  <c r="L195" i="1"/>
  <c r="L199" i="1"/>
  <c r="J199" i="1"/>
  <c r="J200" i="1" s="1"/>
  <c r="J224" i="1"/>
  <c r="J229" i="1" s="1"/>
  <c r="P222" i="1"/>
  <c r="I226" i="1"/>
  <c r="T166" i="1"/>
  <c r="F175" i="1"/>
  <c r="G157" i="1"/>
  <c r="U153" i="1"/>
  <c r="U157" i="1" s="1"/>
  <c r="G154" i="1"/>
  <c r="U154" i="1" s="1"/>
  <c r="Q176" i="1"/>
  <c r="L138" i="1"/>
  <c r="L135" i="1"/>
  <c r="K134" i="1"/>
  <c r="K138" i="1" s="1"/>
  <c r="F188" i="1"/>
  <c r="N222" i="1"/>
  <c r="G228" i="1"/>
  <c r="H220" i="1"/>
  <c r="O220" i="1" s="1"/>
  <c r="O221" i="1" s="1"/>
  <c r="O190" i="1"/>
  <c r="O191" i="1" s="1"/>
  <c r="N224" i="1"/>
  <c r="G229" i="1"/>
  <c r="P178" i="1"/>
  <c r="P179" i="1" s="1"/>
  <c r="P174" i="1"/>
  <c r="O166" i="1"/>
  <c r="O175" i="1" s="1"/>
  <c r="L153" i="1"/>
  <c r="K145" i="1"/>
  <c r="R145" i="1" s="1"/>
  <c r="F229" i="1"/>
  <c r="M224" i="1"/>
  <c r="D151" i="1"/>
  <c r="I228" i="1"/>
  <c r="H228" i="1"/>
  <c r="J228" i="1"/>
  <c r="O222" i="1"/>
  <c r="W175" i="1"/>
  <c r="K156" i="1"/>
  <c r="K151" i="1" s="1"/>
  <c r="U178" i="1"/>
  <c r="J197" i="1"/>
  <c r="K133" i="1"/>
  <c r="E229" i="1"/>
  <c r="L224" i="1"/>
  <c r="T178" i="1"/>
  <c r="U199" i="1" l="1"/>
  <c r="R132" i="1"/>
  <c r="R133" i="1" s="1"/>
  <c r="T199" i="1"/>
  <c r="W157" i="1"/>
  <c r="K152" i="1"/>
  <c r="L188" i="1"/>
  <c r="S188" i="1" s="1"/>
  <c r="O225" i="1"/>
  <c r="O229" i="1"/>
  <c r="V229" i="1" s="1"/>
  <c r="E176" i="1"/>
  <c r="E179" i="1"/>
  <c r="D175" i="1"/>
  <c r="W178" i="1"/>
  <c r="Z162" i="1" s="1"/>
  <c r="F196" i="1"/>
  <c r="T188" i="1"/>
  <c r="P226" i="1"/>
  <c r="P223" i="1"/>
  <c r="P224" i="1"/>
  <c r="D154" i="1"/>
  <c r="L175" i="1"/>
  <c r="K166" i="1"/>
  <c r="R166" i="1" s="1"/>
  <c r="P199" i="1"/>
  <c r="P200" i="1" s="1"/>
  <c r="P195" i="1"/>
  <c r="G196" i="1"/>
  <c r="U188" i="1"/>
  <c r="E196" i="1"/>
  <c r="D188" i="1"/>
  <c r="K198" i="1"/>
  <c r="R198" i="1" s="1"/>
  <c r="V166" i="1"/>
  <c r="N217" i="1"/>
  <c r="N226" i="1" s="1"/>
  <c r="N196" i="1"/>
  <c r="Q199" i="1"/>
  <c r="W199" i="1" s="1"/>
  <c r="Z184" i="1" s="1"/>
  <c r="Q195" i="1"/>
  <c r="Q228" i="1"/>
  <c r="P228" i="1"/>
  <c r="O228" i="1"/>
  <c r="V228" i="1" s="1"/>
  <c r="V222" i="1" s="1"/>
  <c r="O223" i="1"/>
  <c r="N228" i="1"/>
  <c r="U228" i="1" s="1"/>
  <c r="U222" i="1" s="1"/>
  <c r="N223" i="1"/>
  <c r="D228" i="1"/>
  <c r="H176" i="1"/>
  <c r="H179" i="1"/>
  <c r="V175" i="1"/>
  <c r="V179" i="1" s="1"/>
  <c r="L157" i="1"/>
  <c r="L154" i="1"/>
  <c r="K153" i="1"/>
  <c r="K157" i="1" s="1"/>
  <c r="F179" i="1"/>
  <c r="T175" i="1"/>
  <c r="T179" i="1" s="1"/>
  <c r="F176" i="1"/>
  <c r="T176" i="1" s="1"/>
  <c r="T169" i="1" s="1"/>
  <c r="S153" i="1"/>
  <c r="S157" i="1" s="1"/>
  <c r="G179" i="1"/>
  <c r="G176" i="1"/>
  <c r="U176" i="1" s="1"/>
  <c r="U169" i="1" s="1"/>
  <c r="U175" i="1"/>
  <c r="U179" i="1" s="1"/>
  <c r="K178" i="1"/>
  <c r="P197" i="1"/>
  <c r="R134" i="1"/>
  <c r="R138" i="1" s="1"/>
  <c r="S199" i="1"/>
  <c r="H196" i="1"/>
  <c r="F217" i="1"/>
  <c r="N229" i="1"/>
  <c r="U229" i="1" s="1"/>
  <c r="N225" i="1"/>
  <c r="K135" i="1"/>
  <c r="R135" i="1" s="1"/>
  <c r="I230" i="1"/>
  <c r="I227" i="1"/>
  <c r="D157" i="1"/>
  <c r="Q223" i="1"/>
  <c r="Q224" i="1"/>
  <c r="Q226" i="1"/>
  <c r="L229" i="1"/>
  <c r="S229" i="1" s="1"/>
  <c r="L225" i="1"/>
  <c r="E217" i="1"/>
  <c r="D229" i="1"/>
  <c r="R156" i="1"/>
  <c r="M229" i="1"/>
  <c r="T229" i="1" s="1"/>
  <c r="M225" i="1"/>
  <c r="O179" i="1"/>
  <c r="O176" i="1"/>
  <c r="G217" i="1"/>
  <c r="J230" i="1"/>
  <c r="J227" i="1"/>
  <c r="L228" i="1"/>
  <c r="L223" i="1"/>
  <c r="H217" i="1"/>
  <c r="M217" i="1"/>
  <c r="M226" i="1" s="1"/>
  <c r="M196" i="1"/>
  <c r="D199" i="1"/>
  <c r="S135" i="1"/>
  <c r="O188" i="1"/>
  <c r="S166" i="1"/>
  <c r="Q197" i="1"/>
  <c r="V199" i="1"/>
  <c r="W179" i="1" l="1"/>
  <c r="Q200" i="1"/>
  <c r="W226" i="1"/>
  <c r="V176" i="1"/>
  <c r="V169" i="1" s="1"/>
  <c r="K199" i="1"/>
  <c r="K194" i="1" s="1"/>
  <c r="D224" i="1"/>
  <c r="H197" i="1"/>
  <c r="H200" i="1"/>
  <c r="O217" i="1"/>
  <c r="O226" i="1" s="1"/>
  <c r="O196" i="1"/>
  <c r="V196" i="1" s="1"/>
  <c r="V200" i="1" s="1"/>
  <c r="M200" i="1"/>
  <c r="M197" i="1"/>
  <c r="G226" i="1"/>
  <c r="U217" i="1"/>
  <c r="D217" i="1"/>
  <c r="E226" i="1"/>
  <c r="Q229" i="1"/>
  <c r="Q230" i="1" s="1"/>
  <c r="Q225" i="1"/>
  <c r="T217" i="1"/>
  <c r="F226" i="1"/>
  <c r="K154" i="1"/>
  <c r="R154" i="1" s="1"/>
  <c r="E174" i="1"/>
  <c r="W200" i="1"/>
  <c r="E200" i="1"/>
  <c r="E197" i="1"/>
  <c r="D196" i="1"/>
  <c r="L176" i="1"/>
  <c r="K176" i="1" s="1"/>
  <c r="K175" i="1"/>
  <c r="K179" i="1" s="1"/>
  <c r="L179" i="1"/>
  <c r="P229" i="1"/>
  <c r="P225" i="1"/>
  <c r="D176" i="1"/>
  <c r="K173" i="1"/>
  <c r="K174" i="1" s="1"/>
  <c r="R178" i="1"/>
  <c r="M230" i="1"/>
  <c r="M227" i="1"/>
  <c r="K228" i="1"/>
  <c r="R228" i="1" s="1"/>
  <c r="R222" i="1" s="1"/>
  <c r="S228" i="1"/>
  <c r="S222" i="1" s="1"/>
  <c r="N200" i="1"/>
  <c r="N197" i="1"/>
  <c r="D179" i="1"/>
  <c r="R175" i="1"/>
  <c r="R179" i="1" s="1"/>
  <c r="Q227" i="1"/>
  <c r="G197" i="1"/>
  <c r="G200" i="1"/>
  <c r="U196" i="1"/>
  <c r="U200" i="1" s="1"/>
  <c r="L196" i="1"/>
  <c r="L217" i="1"/>
  <c r="S217" i="1" s="1"/>
  <c r="K188" i="1"/>
  <c r="R188" i="1" s="1"/>
  <c r="D194" i="1"/>
  <c r="H226" i="1"/>
  <c r="R151" i="1"/>
  <c r="Z140" i="1"/>
  <c r="R153" i="1"/>
  <c r="R157" i="1" s="1"/>
  <c r="V188" i="1"/>
  <c r="N230" i="1"/>
  <c r="N227" i="1"/>
  <c r="S154" i="1"/>
  <c r="P227" i="1"/>
  <c r="F200" i="1"/>
  <c r="T196" i="1"/>
  <c r="T200" i="1" s="1"/>
  <c r="F197" i="1"/>
  <c r="S175" i="1"/>
  <c r="S179" i="1" s="1"/>
  <c r="K195" i="1" l="1"/>
  <c r="W229" i="1"/>
  <c r="Z213" i="1" s="1"/>
  <c r="R199" i="1"/>
  <c r="R194" i="1" s="1"/>
  <c r="R195" i="1" s="1"/>
  <c r="V217" i="1"/>
  <c r="S176" i="1"/>
  <c r="S169" i="1" s="1"/>
  <c r="R176" i="1"/>
  <c r="R169" i="1" s="1"/>
  <c r="R161" i="1"/>
  <c r="R152" i="1"/>
  <c r="D197" i="1"/>
  <c r="F230" i="1"/>
  <c r="T226" i="1"/>
  <c r="T230" i="1" s="1"/>
  <c r="F227" i="1"/>
  <c r="T227" i="1" s="1"/>
  <c r="T220" i="1" s="1"/>
  <c r="L197" i="1"/>
  <c r="L200" i="1"/>
  <c r="K196" i="1"/>
  <c r="K200" i="1" s="1"/>
  <c r="R173" i="1"/>
  <c r="R174" i="1" s="1"/>
  <c r="Z161" i="1"/>
  <c r="P230" i="1"/>
  <c r="S196" i="1"/>
  <c r="S200" i="1" s="1"/>
  <c r="O197" i="1"/>
  <c r="V197" i="1" s="1"/>
  <c r="O200" i="1"/>
  <c r="H227" i="1"/>
  <c r="H230" i="1"/>
  <c r="V226" i="1"/>
  <c r="V230" i="1" s="1"/>
  <c r="D200" i="1"/>
  <c r="T197" i="1"/>
  <c r="K229" i="1"/>
  <c r="L226" i="1"/>
  <c r="S226" i="1" s="1"/>
  <c r="S230" i="1" s="1"/>
  <c r="K217" i="1"/>
  <c r="R217" i="1" s="1"/>
  <c r="U197" i="1"/>
  <c r="D226" i="1"/>
  <c r="E230" i="1"/>
  <c r="E227" i="1"/>
  <c r="G227" i="1"/>
  <c r="U227" i="1" s="1"/>
  <c r="U220" i="1" s="1"/>
  <c r="G230" i="1"/>
  <c r="U226" i="1"/>
  <c r="U230" i="1" s="1"/>
  <c r="O227" i="1"/>
  <c r="O230" i="1"/>
  <c r="Z183" i="1" l="1"/>
  <c r="W230" i="1"/>
  <c r="R196" i="1"/>
  <c r="R200" i="1" s="1"/>
  <c r="D230" i="1"/>
  <c r="D227" i="1"/>
  <c r="K197" i="1"/>
  <c r="R197" i="1" s="1"/>
  <c r="K224" i="1"/>
  <c r="K225" i="1" s="1"/>
  <c r="R229" i="1"/>
  <c r="V227" i="1"/>
  <c r="V220" i="1" s="1"/>
  <c r="L227" i="1"/>
  <c r="K227" i="1" s="1"/>
  <c r="K226" i="1"/>
  <c r="K230" i="1" s="1"/>
  <c r="L230" i="1"/>
  <c r="S197" i="1"/>
  <c r="R227" i="1" l="1"/>
  <c r="R220" i="1" s="1"/>
  <c r="R226" i="1"/>
  <c r="R230" i="1" s="1"/>
  <c r="Z212" i="1"/>
  <c r="R224" i="1"/>
  <c r="R225" i="1" s="1"/>
  <c r="S227" i="1"/>
  <c r="S220" i="1" s="1"/>
</calcChain>
</file>

<file path=xl/sharedStrings.xml><?xml version="1.0" encoding="utf-8"?>
<sst xmlns="http://schemas.openxmlformats.org/spreadsheetml/2006/main" count="618" uniqueCount="89">
  <si>
    <t>Выручка от услуг по передаче электроэнергии филиала ОАО "МРСК Юга" - "Астраханьэнерго" на 2014 год с учетом роста тарифов с 01.01.2014 на 7% ( по населению 8,22% со 2-го полугодия )
и прекращения действия договоров "последней мили"</t>
  </si>
  <si>
    <t>№</t>
  </si>
  <si>
    <t>Показатели</t>
  </si>
  <si>
    <t>I полугодие 2014</t>
  </si>
  <si>
    <t>II полугодие 2014</t>
  </si>
  <si>
    <t>Всего</t>
  </si>
  <si>
    <t>ВН</t>
  </si>
  <si>
    <t>СН1</t>
  </si>
  <si>
    <t>СН2</t>
  </si>
  <si>
    <t>НН прочие</t>
  </si>
  <si>
    <t>Население</t>
  </si>
  <si>
    <t xml:space="preserve"> в т.ч. Население</t>
  </si>
  <si>
    <t>1</t>
  </si>
  <si>
    <t>Заявленная мощность потребителей региона</t>
  </si>
  <si>
    <t>МВт</t>
  </si>
  <si>
    <t>2</t>
  </si>
  <si>
    <t>Полезный отпуск ээ потребителям региона</t>
  </si>
  <si>
    <t>млн.кВт.ч</t>
  </si>
  <si>
    <t>3</t>
  </si>
  <si>
    <t>Ставка на содержание</t>
  </si>
  <si>
    <t xml:space="preserve">руб/МВт.мес </t>
  </si>
  <si>
    <t>4</t>
  </si>
  <si>
    <t xml:space="preserve">Ставка на оплату технологического расхода (потерь) электрической энергии </t>
  </si>
  <si>
    <t>руб/МВт.ч</t>
  </si>
  <si>
    <t xml:space="preserve"> </t>
  </si>
  <si>
    <t>5</t>
  </si>
  <si>
    <t>Одноставочный тариф</t>
  </si>
  <si>
    <t>темп роста</t>
  </si>
  <si>
    <t>НВВ по двухставочному тарифу</t>
  </si>
  <si>
    <t>тыс.руб.</t>
  </si>
  <si>
    <t>НВВ по одноставочному тарифу</t>
  </si>
  <si>
    <t>Средний одностав.тариф</t>
  </si>
  <si>
    <t>Несходимость НВВ</t>
  </si>
  <si>
    <r>
      <t xml:space="preserve">Выручка от услуг по передаче электроэнергии филиала ОАО "МРСК Юга" - "Астраханьэнерго" на 2015 годс учетом роста тарифов с 01.07.2015 на 7,5% </t>
    </r>
    <r>
      <rPr>
        <b/>
        <sz val="18"/>
        <color theme="0"/>
        <rFont val="Times New Roman"/>
        <family val="1"/>
        <charset val="204"/>
      </rPr>
      <t>(из расчета прироста ПМ на 1,7 %)</t>
    </r>
    <r>
      <rPr>
        <b/>
        <sz val="18"/>
        <rFont val="Times New Roman"/>
        <family val="1"/>
        <charset val="204"/>
      </rPr>
      <t xml:space="preserve">
</t>
    </r>
  </si>
  <si>
    <t>I полугодие 2015</t>
  </si>
  <si>
    <t>II полугодие 2015</t>
  </si>
  <si>
    <t>город</t>
  </si>
  <si>
    <t>село</t>
  </si>
  <si>
    <t>=</t>
  </si>
  <si>
    <t>Утверждено 2016</t>
  </si>
  <si>
    <t>I полугодие 2016</t>
  </si>
  <si>
    <t>II полугодие 2016</t>
  </si>
  <si>
    <t>Население городское</t>
  </si>
  <si>
    <t>Население 
сельское</t>
  </si>
  <si>
    <t xml:space="preserve">прочие </t>
  </si>
  <si>
    <t>население</t>
  </si>
  <si>
    <t>по ставке на содержание</t>
  </si>
  <si>
    <t>по ставке на потери</t>
  </si>
  <si>
    <t>Справочно:</t>
  </si>
  <si>
    <t>Структура полезного отпуска</t>
  </si>
  <si>
    <t>Население до 12.04.2015</t>
  </si>
  <si>
    <t>факт 2015 года</t>
  </si>
  <si>
    <t>уд.вес.</t>
  </si>
  <si>
    <t>предложения на 2017 год</t>
  </si>
  <si>
    <t>Утверждено 2017</t>
  </si>
  <si>
    <t>рост тарифов прочих</t>
  </si>
  <si>
    <t>рост тарифов населения</t>
  </si>
  <si>
    <t>I полугодие 2017</t>
  </si>
  <si>
    <t>II полугодие 2017</t>
  </si>
  <si>
    <r>
      <t xml:space="preserve">Население 
</t>
    </r>
    <r>
      <rPr>
        <b/>
        <sz val="16"/>
        <color theme="0"/>
        <rFont val="Times New Roman"/>
        <family val="1"/>
        <charset val="204"/>
      </rPr>
      <t>сельское</t>
    </r>
  </si>
  <si>
    <t>Предложения на 2018</t>
  </si>
  <si>
    <t>I полугодие 2018</t>
  </si>
  <si>
    <r>
      <t xml:space="preserve">Население 
</t>
    </r>
    <r>
      <rPr>
        <b/>
        <sz val="12"/>
        <color theme="0"/>
        <rFont val="Times New Roman"/>
        <family val="1"/>
        <charset val="204"/>
      </rPr>
      <t>сельское</t>
    </r>
  </si>
  <si>
    <t>максимум РСТ</t>
  </si>
  <si>
    <t>II полугодие 2018</t>
  </si>
  <si>
    <t>Предложения на 2019</t>
  </si>
  <si>
    <t>I полугодие 2019</t>
  </si>
  <si>
    <t>II полугодие 2019</t>
  </si>
  <si>
    <t>уд. вес утв. 2018</t>
  </si>
  <si>
    <t>уд. вес план 2019</t>
  </si>
  <si>
    <t>рост одноставки</t>
  </si>
  <si>
    <t>рост тарифов прочих сод-е</t>
  </si>
  <si>
    <t>рост тарифов прочих потери</t>
  </si>
  <si>
    <t>рассылка баланса ФАС 19.11.2018</t>
  </si>
  <si>
    <t>Предложения на 2019 MAX</t>
  </si>
  <si>
    <t>ПО факт 2017</t>
  </si>
  <si>
    <t>НН население</t>
  </si>
  <si>
    <t>ВСЕГО</t>
  </si>
  <si>
    <t>ПО утв. 2018</t>
  </si>
  <si>
    <t>ПО план 2019</t>
  </si>
  <si>
    <t>Предложения на 2019 MIN</t>
  </si>
  <si>
    <t>уд.вес</t>
  </si>
  <si>
    <t>1 пол. 2019</t>
  </si>
  <si>
    <t>2 пол. 2019</t>
  </si>
  <si>
    <t>25.12.2018.</t>
  </si>
  <si>
    <t>Приложение № 2</t>
  </si>
  <si>
    <t>к протоколу</t>
  </si>
  <si>
    <t>Сходимость необходимой валовой выручки при расчете единых (котловых) тарифов на услуги по передаче электрической энергии на территории Астраханской области на 2019 год</t>
  </si>
  <si>
    <t xml:space="preserve">В т.ч. население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</si>
</sst>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0"/>
    <numFmt numFmtId="165" formatCode="#,##0.000000"/>
    <numFmt numFmtId="166" formatCode="#,##0.0000"/>
    <numFmt numFmtId="167" formatCode="#,##0.0"/>
    <numFmt numFmtId="168" formatCode="0.000000000"/>
    <numFmt numFmtId="169" formatCode="0.0000"/>
    <numFmt numFmtId="170" formatCode="0.0"/>
    <numFmt numFmtId="171" formatCode="0.000"/>
    <numFmt numFmtId="172" formatCode="#,##0.00000"/>
    <numFmt numFmtId="173" formatCode="_-* #,##0.00_р_._-;\-* #,##0.00_р_._-;_-* &quot;-&quot;??_р_._-;_-@_-"/>
    <numFmt numFmtId="174" formatCode="_-* #,##0_р_._-;\-* #,##0_р_._-;_-* &quot;-&quot;??_р_._-;_-@_-"/>
  </numFmts>
  <fonts count="8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8"/>
      <color theme="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Tahoma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22"/>
      <name val="Times New Roman"/>
      <family val="1"/>
      <charset val="204"/>
    </font>
    <font>
      <sz val="12"/>
      <name val="Arial Cyr"/>
      <charset val="204"/>
    </font>
    <font>
      <b/>
      <i/>
      <sz val="18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Arial Cyr"/>
      <charset val="204"/>
    </font>
    <font>
      <b/>
      <sz val="11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ahoma"/>
      <family val="2"/>
      <charset val="204"/>
    </font>
    <font>
      <b/>
      <i/>
      <sz val="16"/>
      <color rgb="FFFF0000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Arial Cyr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b/>
      <sz val="20"/>
      <color theme="1"/>
      <name val="Calibri"/>
      <family val="2"/>
      <charset val="204"/>
      <scheme val="minor"/>
    </font>
    <font>
      <sz val="16"/>
      <name val="Arial Cyr"/>
      <family val="2"/>
      <charset val="204"/>
    </font>
    <font>
      <sz val="14"/>
      <name val="Times New Roman"/>
      <family val="1"/>
      <charset val="204"/>
    </font>
    <font>
      <sz val="12"/>
      <name val="Arial Cyr"/>
      <family val="2"/>
      <charset val="204"/>
    </font>
    <font>
      <b/>
      <sz val="2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4"/>
      <name val="Tahoma"/>
      <family val="2"/>
      <charset val="204"/>
    </font>
    <font>
      <sz val="16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scheme val="minor"/>
    </font>
    <font>
      <sz val="20"/>
      <name val="Times New Roman"/>
      <family val="1"/>
      <charset val="204"/>
    </font>
    <font>
      <i/>
      <sz val="20"/>
      <color rgb="FFFF0000"/>
      <name val="Times New Roman"/>
      <family val="1"/>
      <charset val="204"/>
    </font>
    <font>
      <b/>
      <sz val="20"/>
      <name val="Tahoma"/>
      <family val="2"/>
      <charset val="204"/>
    </font>
    <font>
      <b/>
      <i/>
      <sz val="20"/>
      <name val="Times New Roman"/>
      <family val="1"/>
      <charset val="204"/>
    </font>
    <font>
      <b/>
      <i/>
      <sz val="20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color theme="1"/>
      <name val="Calibri"/>
      <family val="2"/>
      <scheme val="minor"/>
    </font>
    <font>
      <sz val="20"/>
      <name val="Arial Cyr"/>
      <family val="2"/>
      <charset val="204"/>
    </font>
    <font>
      <sz val="20"/>
      <name val="Arial Cyr"/>
      <charset val="204"/>
    </font>
    <font>
      <sz val="20"/>
      <color theme="1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b/>
      <sz val="14"/>
      <color theme="0"/>
      <name val="Times New Roman"/>
      <family val="1"/>
      <charset val="204"/>
    </font>
    <font>
      <b/>
      <sz val="22"/>
      <color theme="0"/>
      <name val="Times New Roman"/>
      <family val="1"/>
      <charset val="204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8"/>
      <color theme="1"/>
      <name val="Calibri"/>
      <family val="2"/>
      <charset val="204"/>
      <scheme val="minor"/>
    </font>
    <font>
      <i/>
      <sz val="20"/>
      <color theme="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lightDown">
        <fgColor indexed="22"/>
        <bgColor theme="0" tint="-0.14999847407452621"/>
      </patternFill>
    </fill>
    <fill>
      <patternFill patternType="solid">
        <fgColor indexed="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lightDown">
        <fgColor indexed="2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lightDown">
        <fgColor indexed="22"/>
        <bgColor theme="0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26" fillId="0" borderId="0" applyFont="0" applyFill="0" applyBorder="0" applyAlignment="0" applyProtection="0"/>
    <xf numFmtId="0" fontId="1" fillId="0" borderId="0"/>
    <xf numFmtId="173" fontId="26" fillId="0" borderId="0" applyFont="0" applyFill="0" applyBorder="0" applyAlignment="0" applyProtection="0"/>
    <xf numFmtId="0" fontId="50" fillId="0" borderId="0"/>
  </cellStyleXfs>
  <cellXfs count="704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49" fontId="6" fillId="0" borderId="14" xfId="0" applyNumberFormat="1" applyFont="1" applyBorder="1" applyAlignment="1" applyProtection="1">
      <alignment horizontal="center" vertical="center"/>
    </xf>
    <xf numFmtId="2" fontId="6" fillId="0" borderId="15" xfId="0" applyNumberFormat="1" applyFont="1" applyBorder="1" applyAlignment="1" applyProtection="1">
      <alignment vertical="center" wrapText="1"/>
    </xf>
    <xf numFmtId="2" fontId="6" fillId="0" borderId="16" xfId="0" applyNumberFormat="1" applyFont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right" vertical="center"/>
    </xf>
    <xf numFmtId="4" fontId="7" fillId="4" borderId="15" xfId="0" applyNumberFormat="1" applyFont="1" applyFill="1" applyBorder="1" applyAlignment="1" applyProtection="1">
      <alignment horizontal="right" vertical="center"/>
    </xf>
    <xf numFmtId="4" fontId="6" fillId="4" borderId="15" xfId="0" applyNumberFormat="1" applyFont="1" applyFill="1" applyBorder="1" applyAlignment="1" applyProtection="1">
      <alignment horizontal="right" vertical="center"/>
    </xf>
    <xf numFmtId="4" fontId="6" fillId="4" borderId="17" xfId="0" applyNumberFormat="1" applyFont="1" applyFill="1" applyBorder="1" applyAlignment="1" applyProtection="1">
      <alignment horizontal="right" vertical="center"/>
    </xf>
    <xf numFmtId="4" fontId="8" fillId="0" borderId="14" xfId="0" applyNumberFormat="1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/>
    <xf numFmtId="4" fontId="9" fillId="0" borderId="14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49" fontId="5" fillId="5" borderId="14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horizontal="center" vertical="center" wrapText="1"/>
    </xf>
    <xf numFmtId="0" fontId="6" fillId="5" borderId="16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vertical="top"/>
    </xf>
    <xf numFmtId="0" fontId="6" fillId="6" borderId="15" xfId="0" applyFont="1" applyFill="1" applyBorder="1" applyAlignment="1" applyProtection="1">
      <alignment vertical="top"/>
    </xf>
    <xf numFmtId="0" fontId="6" fillId="6" borderId="19" xfId="0" applyFont="1" applyFill="1" applyBorder="1" applyAlignment="1" applyProtection="1">
      <alignment vertical="top"/>
    </xf>
    <xf numFmtId="0" fontId="6" fillId="6" borderId="18" xfId="0" applyFont="1" applyFill="1" applyBorder="1" applyAlignment="1" applyProtection="1">
      <alignment vertical="top"/>
    </xf>
    <xf numFmtId="0" fontId="6" fillId="6" borderId="16" xfId="0" applyFont="1" applyFill="1" applyBorder="1" applyAlignment="1" applyProtection="1">
      <alignment vertical="top"/>
    </xf>
    <xf numFmtId="49" fontId="5" fillId="0" borderId="14" xfId="0" applyNumberFormat="1" applyFont="1" applyBorder="1" applyAlignment="1" applyProtection="1">
      <alignment horizontal="center" vertical="center"/>
    </xf>
    <xf numFmtId="2" fontId="5" fillId="0" borderId="15" xfId="0" applyNumberFormat="1" applyFont="1" applyBorder="1" applyAlignment="1" applyProtection="1">
      <alignment vertical="center" wrapText="1"/>
    </xf>
    <xf numFmtId="0" fontId="6" fillId="0" borderId="14" xfId="0" applyFont="1" applyBorder="1" applyAlignment="1" applyProtection="1">
      <alignment vertical="top"/>
    </xf>
    <xf numFmtId="4" fontId="5" fillId="7" borderId="15" xfId="0" applyNumberFormat="1" applyFont="1" applyFill="1" applyBorder="1" applyAlignment="1" applyProtection="1">
      <alignment horizontal="right" vertical="center"/>
      <protection locked="0"/>
    </xf>
    <xf numFmtId="4" fontId="5" fillId="7" borderId="19" xfId="0" applyNumberFormat="1" applyFont="1" applyFill="1" applyBorder="1" applyAlignment="1" applyProtection="1">
      <alignment horizontal="right" vertical="center"/>
      <protection locked="0"/>
    </xf>
    <xf numFmtId="4" fontId="5" fillId="7" borderId="18" xfId="0" applyNumberFormat="1" applyFont="1" applyFill="1" applyBorder="1" applyAlignment="1" applyProtection="1">
      <alignment horizontal="right" vertical="center"/>
      <protection locked="0"/>
    </xf>
    <xf numFmtId="4" fontId="5" fillId="7" borderId="16" xfId="0" applyNumberFormat="1" applyFont="1" applyFill="1" applyBorder="1" applyAlignment="1" applyProtection="1">
      <alignment horizontal="right" vertical="center"/>
      <protection locked="0"/>
    </xf>
    <xf numFmtId="0" fontId="6" fillId="0" borderId="18" xfId="0" applyFont="1" applyBorder="1" applyAlignment="1" applyProtection="1">
      <alignment vertical="top"/>
    </xf>
    <xf numFmtId="0" fontId="6" fillId="0" borderId="16" xfId="0" applyFont="1" applyBorder="1" applyAlignment="1" applyProtection="1">
      <alignment vertical="top"/>
    </xf>
    <xf numFmtId="4" fontId="10" fillId="0" borderId="15" xfId="0" applyNumberFormat="1" applyFont="1" applyFill="1" applyBorder="1" applyAlignment="1" applyProtection="1">
      <alignment horizontal="right" vertical="center"/>
    </xf>
    <xf numFmtId="4" fontId="5" fillId="8" borderId="19" xfId="0" applyNumberFormat="1" applyFont="1" applyFill="1" applyBorder="1" applyAlignment="1" applyProtection="1">
      <alignment horizontal="right" vertical="center"/>
      <protection locked="0"/>
    </xf>
    <xf numFmtId="4" fontId="5" fillId="8" borderId="18" xfId="0" applyNumberFormat="1" applyFont="1" applyFill="1" applyBorder="1" applyAlignment="1" applyProtection="1">
      <alignment horizontal="right" vertical="center"/>
      <protection locked="0"/>
    </xf>
    <xf numFmtId="0" fontId="6" fillId="8" borderId="14" xfId="0" applyFont="1" applyFill="1" applyBorder="1" applyAlignment="1" applyProtection="1">
      <alignment vertical="top"/>
    </xf>
    <xf numFmtId="4" fontId="5" fillId="8" borderId="16" xfId="0" applyNumberFormat="1" applyFont="1" applyFill="1" applyBorder="1" applyAlignment="1" applyProtection="1">
      <alignment horizontal="right" vertical="center"/>
      <protection locked="0"/>
    </xf>
    <xf numFmtId="4" fontId="5" fillId="7" borderId="17" xfId="0" applyNumberFormat="1" applyFont="1" applyFill="1" applyBorder="1" applyAlignment="1" applyProtection="1">
      <alignment horizontal="right" vertical="center"/>
      <protection locked="0"/>
    </xf>
    <xf numFmtId="4" fontId="10" fillId="0" borderId="17" xfId="0" applyNumberFormat="1" applyFont="1" applyFill="1" applyBorder="1" applyAlignment="1" applyProtection="1">
      <alignment horizontal="right" vertical="center"/>
    </xf>
    <xf numFmtId="4" fontId="5" fillId="8" borderId="14" xfId="0" applyNumberFormat="1" applyFont="1" applyFill="1" applyBorder="1" applyAlignment="1" applyProtection="1">
      <alignment horizontal="right" vertical="center"/>
    </xf>
    <xf numFmtId="2" fontId="5" fillId="8" borderId="14" xfId="0" applyNumberFormat="1" applyFont="1" applyFill="1" applyBorder="1" applyAlignment="1" applyProtection="1">
      <alignment vertical="top"/>
    </xf>
    <xf numFmtId="2" fontId="5" fillId="8" borderId="18" xfId="0" applyNumberFormat="1" applyFont="1" applyFill="1" applyBorder="1" applyAlignment="1" applyProtection="1">
      <alignment vertical="top"/>
    </xf>
    <xf numFmtId="2" fontId="10" fillId="0" borderId="15" xfId="0" applyNumberFormat="1" applyFont="1" applyFill="1" applyBorder="1" applyAlignment="1" applyProtection="1">
      <alignment horizontal="right" vertical="center" wrapText="1"/>
    </xf>
    <xf numFmtId="164" fontId="11" fillId="0" borderId="14" xfId="0" applyNumberFormat="1" applyFont="1" applyFill="1" applyBorder="1" applyAlignment="1" applyProtection="1">
      <alignment horizontal="right" vertical="center"/>
    </xf>
    <xf numFmtId="4" fontId="10" fillId="0" borderId="16" xfId="0" applyNumberFormat="1" applyFont="1" applyFill="1" applyBorder="1" applyAlignment="1" applyProtection="1">
      <alignment horizontal="right" vertical="center"/>
    </xf>
    <xf numFmtId="4" fontId="10" fillId="0" borderId="18" xfId="0" applyNumberFormat="1" applyFont="1" applyFill="1" applyBorder="1" applyAlignment="1" applyProtection="1">
      <alignment horizontal="right" vertical="center"/>
    </xf>
    <xf numFmtId="164" fontId="5" fillId="9" borderId="14" xfId="0" applyNumberFormat="1" applyFont="1" applyFill="1" applyBorder="1" applyAlignment="1" applyProtection="1">
      <alignment horizontal="right" vertical="center"/>
    </xf>
    <xf numFmtId="164" fontId="5" fillId="9" borderId="18" xfId="0" applyNumberFormat="1" applyFont="1" applyFill="1" applyBorder="1" applyAlignment="1" applyProtection="1">
      <alignment horizontal="right" vertical="center"/>
    </xf>
    <xf numFmtId="2" fontId="5" fillId="10" borderId="16" xfId="0" applyNumberFormat="1" applyFont="1" applyFill="1" applyBorder="1" applyAlignment="1" applyProtection="1">
      <alignment vertical="top"/>
    </xf>
    <xf numFmtId="3" fontId="5" fillId="4" borderId="14" xfId="0" applyNumberFormat="1" applyFont="1" applyFill="1" applyBorder="1" applyAlignment="1" applyProtection="1">
      <alignment horizontal="right" vertical="center"/>
    </xf>
    <xf numFmtId="3" fontId="6" fillId="4" borderId="15" xfId="0" applyNumberFormat="1" applyFont="1" applyFill="1" applyBorder="1" applyAlignment="1" applyProtection="1">
      <alignment horizontal="right" vertical="center"/>
    </xf>
    <xf numFmtId="3" fontId="6" fillId="4" borderId="19" xfId="0" applyNumberFormat="1" applyFont="1" applyFill="1" applyBorder="1" applyAlignment="1" applyProtection="1">
      <alignment horizontal="right" vertical="center"/>
    </xf>
    <xf numFmtId="3" fontId="6" fillId="4" borderId="18" xfId="0" applyNumberFormat="1" applyFont="1" applyFill="1" applyBorder="1" applyAlignment="1" applyProtection="1">
      <alignment horizontal="right" vertical="center"/>
    </xf>
    <xf numFmtId="3" fontId="6" fillId="4" borderId="16" xfId="0" applyNumberFormat="1" applyFont="1" applyFill="1" applyBorder="1" applyAlignment="1" applyProtection="1">
      <alignment horizontal="right" vertical="center"/>
    </xf>
    <xf numFmtId="3" fontId="5" fillId="4" borderId="18" xfId="0" applyNumberFormat="1" applyFont="1" applyFill="1" applyBorder="1" applyAlignment="1" applyProtection="1">
      <alignment horizontal="right" vertical="center"/>
    </xf>
    <xf numFmtId="3" fontId="0" fillId="0" borderId="0" xfId="0" applyNumberFormat="1" applyAlignment="1">
      <alignment vertical="top"/>
    </xf>
    <xf numFmtId="0" fontId="6" fillId="0" borderId="20" xfId="0" applyFont="1" applyBorder="1" applyAlignment="1" applyProtection="1">
      <alignment vertical="top"/>
    </xf>
    <xf numFmtId="2" fontId="5" fillId="0" borderId="21" xfId="0" applyNumberFormat="1" applyFont="1" applyBorder="1" applyAlignment="1" applyProtection="1">
      <alignment vertical="center" wrapText="1"/>
    </xf>
    <xf numFmtId="2" fontId="6" fillId="0" borderId="22" xfId="0" applyNumberFormat="1" applyFont="1" applyBorder="1" applyAlignment="1" applyProtection="1">
      <alignment horizontal="center" vertical="center" wrapText="1"/>
    </xf>
    <xf numFmtId="3" fontId="5" fillId="4" borderId="20" xfId="0" applyNumberFormat="1" applyFont="1" applyFill="1" applyBorder="1" applyAlignment="1" applyProtection="1">
      <alignment horizontal="right" vertical="center"/>
    </xf>
    <xf numFmtId="3" fontId="6" fillId="4" borderId="21" xfId="0" applyNumberFormat="1" applyFont="1" applyFill="1" applyBorder="1" applyAlignment="1" applyProtection="1">
      <alignment horizontal="right" vertical="center"/>
    </xf>
    <xf numFmtId="3" fontId="6" fillId="4" borderId="23" xfId="0" applyNumberFormat="1" applyFont="1" applyFill="1" applyBorder="1" applyAlignment="1" applyProtection="1">
      <alignment horizontal="right" vertical="center"/>
    </xf>
    <xf numFmtId="3" fontId="6" fillId="4" borderId="24" xfId="0" applyNumberFormat="1" applyFont="1" applyFill="1" applyBorder="1" applyAlignment="1" applyProtection="1">
      <alignment horizontal="right" vertical="center"/>
    </xf>
    <xf numFmtId="3" fontId="6" fillId="4" borderId="22" xfId="0" applyNumberFormat="1" applyFont="1" applyFill="1" applyBorder="1" applyAlignment="1" applyProtection="1">
      <alignment horizontal="right" vertical="center"/>
    </xf>
    <xf numFmtId="3" fontId="5" fillId="4" borderId="24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top"/>
    </xf>
    <xf numFmtId="2" fontId="5" fillId="9" borderId="0" xfId="0" applyNumberFormat="1" applyFont="1" applyFill="1" applyBorder="1" applyAlignment="1" applyProtection="1">
      <alignment vertical="center" wrapText="1"/>
    </xf>
    <xf numFmtId="2" fontId="6" fillId="9" borderId="16" xfId="0" applyNumberFormat="1" applyFont="1" applyFill="1" applyBorder="1" applyAlignment="1" applyProtection="1">
      <alignment horizontal="center" vertical="center" wrapText="1"/>
    </xf>
    <xf numFmtId="3" fontId="5" fillId="9" borderId="0" xfId="0" applyNumberFormat="1" applyFont="1" applyFill="1" applyBorder="1" applyAlignment="1" applyProtection="1">
      <alignment horizontal="right" vertical="center"/>
    </xf>
    <xf numFmtId="3" fontId="6" fillId="9" borderId="0" xfId="0" applyNumberFormat="1" applyFont="1" applyFill="1" applyBorder="1" applyAlignment="1" applyProtection="1">
      <alignment horizontal="right" vertical="center"/>
    </xf>
    <xf numFmtId="0" fontId="12" fillId="0" borderId="0" xfId="0" applyFont="1" applyAlignment="1" applyProtection="1">
      <alignment vertical="top"/>
    </xf>
    <xf numFmtId="0" fontId="13" fillId="11" borderId="0" xfId="0" applyFont="1" applyFill="1" applyAlignment="1" applyProtection="1">
      <alignment horizontal="right" vertical="top"/>
    </xf>
    <xf numFmtId="0" fontId="12" fillId="11" borderId="0" xfId="0" applyFont="1" applyFill="1" applyAlignment="1" applyProtection="1">
      <alignment vertical="top"/>
    </xf>
    <xf numFmtId="4" fontId="14" fillId="11" borderId="0" xfId="0" applyNumberFormat="1" applyFont="1" applyFill="1" applyAlignment="1" applyProtection="1">
      <alignment vertical="top"/>
    </xf>
    <xf numFmtId="4" fontId="15" fillId="11" borderId="0" xfId="0" applyNumberFormat="1" applyFont="1" applyFill="1" applyAlignment="1" applyProtection="1">
      <alignment vertical="top"/>
    </xf>
    <xf numFmtId="49" fontId="6" fillId="8" borderId="0" xfId="0" applyNumberFormat="1" applyFont="1" applyFill="1" applyBorder="1" applyAlignment="1" applyProtection="1">
      <alignment horizontal="left" vertical="center"/>
    </xf>
    <xf numFmtId="0" fontId="0" fillId="8" borderId="0" xfId="0" applyFill="1" applyAlignment="1">
      <alignment vertical="top"/>
    </xf>
    <xf numFmtId="0" fontId="5" fillId="0" borderId="25" xfId="0" applyFont="1" applyBorder="1" applyAlignment="1" applyProtection="1">
      <alignment horizontal="center" vertical="center"/>
    </xf>
    <xf numFmtId="4" fontId="5" fillId="4" borderId="17" xfId="0" applyNumberFormat="1" applyFont="1" applyFill="1" applyBorder="1" applyAlignment="1" applyProtection="1">
      <alignment horizontal="right" vertical="center"/>
    </xf>
    <xf numFmtId="4" fontId="8" fillId="0" borderId="17" xfId="0" applyNumberFormat="1" applyFont="1" applyBorder="1" applyAlignment="1"/>
    <xf numFmtId="4" fontId="8" fillId="0" borderId="18" xfId="0" applyNumberFormat="1" applyFont="1" applyBorder="1" applyAlignment="1"/>
    <xf numFmtId="4" fontId="17" fillId="12" borderId="0" xfId="0" applyNumberFormat="1" applyFont="1" applyFill="1" applyAlignment="1">
      <alignment horizontal="right" vertical="top"/>
    </xf>
    <xf numFmtId="4" fontId="17" fillId="12" borderId="0" xfId="0" applyNumberFormat="1" applyFont="1" applyFill="1" applyAlignment="1">
      <alignment vertical="top"/>
    </xf>
    <xf numFmtId="0" fontId="17" fillId="12" borderId="0" xfId="0" applyFont="1" applyFill="1" applyAlignment="1">
      <alignment vertical="top"/>
    </xf>
    <xf numFmtId="165" fontId="17" fillId="12" borderId="0" xfId="0" applyNumberFormat="1" applyFont="1" applyFill="1" applyAlignment="1">
      <alignment horizontal="right" vertical="top"/>
    </xf>
    <xf numFmtId="0" fontId="6" fillId="6" borderId="17" xfId="0" applyFont="1" applyFill="1" applyBorder="1" applyAlignment="1" applyProtection="1">
      <alignment vertical="top"/>
    </xf>
    <xf numFmtId="4" fontId="18" fillId="0" borderId="0" xfId="0" applyNumberFormat="1" applyFont="1" applyAlignment="1">
      <alignment vertical="top"/>
    </xf>
    <xf numFmtId="0" fontId="6" fillId="0" borderId="17" xfId="0" applyFont="1" applyBorder="1" applyAlignment="1" applyProtection="1">
      <alignment vertical="top"/>
    </xf>
    <xf numFmtId="0" fontId="0" fillId="0" borderId="26" xfId="0" applyBorder="1" applyAlignment="1">
      <alignment vertical="top"/>
    </xf>
    <xf numFmtId="4" fontId="19" fillId="9" borderId="14" xfId="0" applyNumberFormat="1" applyFont="1" applyFill="1" applyBorder="1" applyAlignment="1" applyProtection="1">
      <alignment horizontal="right" vertical="center"/>
    </xf>
    <xf numFmtId="4" fontId="19" fillId="9" borderId="18" xfId="0" applyNumberFormat="1" applyFont="1" applyFill="1" applyBorder="1" applyAlignment="1" applyProtection="1">
      <alignment horizontal="right" vertical="center"/>
    </xf>
    <xf numFmtId="164" fontId="20" fillId="0" borderId="14" xfId="0" applyNumberFormat="1" applyFont="1" applyFill="1" applyBorder="1" applyAlignment="1" applyProtection="1">
      <alignment horizontal="right" vertical="center"/>
    </xf>
    <xf numFmtId="164" fontId="11" fillId="0" borderId="17" xfId="0" applyNumberFormat="1" applyFont="1" applyFill="1" applyBorder="1" applyAlignment="1" applyProtection="1">
      <alignment horizontal="right" vertical="center"/>
    </xf>
    <xf numFmtId="164" fontId="11" fillId="0" borderId="18" xfId="0" applyNumberFormat="1" applyFont="1" applyFill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vertical="top"/>
    </xf>
    <xf numFmtId="0" fontId="6" fillId="0" borderId="14" xfId="0" applyFont="1" applyBorder="1" applyAlignment="1" applyProtection="1">
      <alignment horizontal="center" vertical="top"/>
    </xf>
    <xf numFmtId="0" fontId="6" fillId="0" borderId="20" xfId="0" applyFont="1" applyBorder="1" applyAlignment="1" applyProtection="1">
      <alignment horizontal="center" vertical="top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4" fontId="22" fillId="0" borderId="0" xfId="0" applyNumberFormat="1" applyFont="1"/>
    <xf numFmtId="4" fontId="5" fillId="4" borderId="31" xfId="0" applyNumberFormat="1" applyFont="1" applyFill="1" applyBorder="1" applyAlignment="1" applyProtection="1">
      <alignment horizontal="right" vertical="center"/>
    </xf>
    <xf numFmtId="164" fontId="7" fillId="4" borderId="32" xfId="0" applyNumberFormat="1" applyFont="1" applyFill="1" applyBorder="1" applyAlignment="1" applyProtection="1">
      <alignment horizontal="right" vertical="center"/>
    </xf>
    <xf numFmtId="166" fontId="5" fillId="4" borderId="14" xfId="0" applyNumberFormat="1" applyFont="1" applyFill="1" applyBorder="1" applyAlignment="1" applyProtection="1">
      <alignment horizontal="right" vertical="center"/>
    </xf>
    <xf numFmtId="164" fontId="7" fillId="4" borderId="8" xfId="0" applyNumberFormat="1" applyFont="1" applyFill="1" applyBorder="1" applyAlignment="1" applyProtection="1">
      <alignment horizontal="right" vertical="center"/>
    </xf>
    <xf numFmtId="166" fontId="8" fillId="13" borderId="14" xfId="0" applyNumberFormat="1" applyFont="1" applyFill="1" applyBorder="1" applyAlignment="1"/>
    <xf numFmtId="166" fontId="8" fillId="13" borderId="18" xfId="0" applyNumberFormat="1" applyFont="1" applyFill="1" applyBorder="1" applyAlignment="1"/>
    <xf numFmtId="166" fontId="6" fillId="0" borderId="16" xfId="0" applyNumberFormat="1" applyFont="1" applyBorder="1" applyAlignment="1"/>
    <xf numFmtId="4" fontId="6" fillId="4" borderId="35" xfId="0" applyNumberFormat="1" applyFont="1" applyFill="1" applyBorder="1" applyAlignment="1" applyProtection="1">
      <alignment horizontal="right" vertical="center"/>
    </xf>
    <xf numFmtId="164" fontId="6" fillId="4" borderId="35" xfId="0" applyNumberFormat="1" applyFont="1" applyFill="1" applyBorder="1" applyAlignment="1" applyProtection="1">
      <alignment horizontal="right" vertical="center"/>
    </xf>
    <xf numFmtId="164" fontId="6" fillId="13" borderId="16" xfId="0" applyNumberFormat="1" applyFont="1" applyFill="1" applyBorder="1" applyAlignment="1"/>
    <xf numFmtId="166" fontId="0" fillId="0" borderId="0" xfId="0" applyNumberFormat="1"/>
    <xf numFmtId="0" fontId="6" fillId="6" borderId="35" xfId="0" applyFont="1" applyFill="1" applyBorder="1" applyAlignment="1" applyProtection="1">
      <alignment vertical="top"/>
    </xf>
    <xf numFmtId="4" fontId="5" fillId="7" borderId="35" xfId="0" applyNumberFormat="1" applyFont="1" applyFill="1" applyBorder="1" applyAlignment="1" applyProtection="1">
      <alignment horizontal="right" vertical="center"/>
      <protection locked="0"/>
    </xf>
    <xf numFmtId="4" fontId="5" fillId="8" borderId="15" xfId="0" applyNumberFormat="1" applyFont="1" applyFill="1" applyBorder="1" applyAlignment="1" applyProtection="1">
      <alignment horizontal="right" vertical="center"/>
      <protection locked="0"/>
    </xf>
    <xf numFmtId="4" fontId="5" fillId="8" borderId="35" xfId="0" applyNumberFormat="1" applyFont="1" applyFill="1" applyBorder="1" applyAlignment="1" applyProtection="1">
      <alignment horizontal="right" vertical="center"/>
      <protection locked="0"/>
    </xf>
    <xf numFmtId="4" fontId="10" fillId="0" borderId="19" xfId="0" applyNumberFormat="1" applyFont="1" applyFill="1" applyBorder="1" applyAlignment="1" applyProtection="1">
      <alignment horizontal="right" vertical="center"/>
    </xf>
    <xf numFmtId="4" fontId="23" fillId="0" borderId="14" xfId="0" applyNumberFormat="1" applyFont="1" applyFill="1" applyBorder="1" applyAlignment="1" applyProtection="1">
      <alignment horizontal="right" vertical="center"/>
    </xf>
    <xf numFmtId="4" fontId="23" fillId="0" borderId="18" xfId="0" applyNumberFormat="1" applyFont="1" applyFill="1" applyBorder="1" applyAlignment="1" applyProtection="1">
      <alignment horizontal="right" vertical="center"/>
    </xf>
    <xf numFmtId="0" fontId="6" fillId="0" borderId="35" xfId="0" applyFont="1" applyFill="1" applyBorder="1" applyAlignment="1" applyProtection="1">
      <alignment vertical="top"/>
    </xf>
    <xf numFmtId="167" fontId="5" fillId="4" borderId="14" xfId="0" applyNumberFormat="1" applyFont="1" applyFill="1" applyBorder="1" applyAlignment="1" applyProtection="1">
      <alignment horizontal="right" vertical="center"/>
    </xf>
    <xf numFmtId="4" fontId="6" fillId="4" borderId="19" xfId="0" applyNumberFormat="1" applyFont="1" applyFill="1" applyBorder="1" applyAlignment="1" applyProtection="1">
      <alignment horizontal="right" vertical="center"/>
    </xf>
    <xf numFmtId="4" fontId="6" fillId="4" borderId="16" xfId="0" applyNumberFormat="1" applyFont="1" applyFill="1" applyBorder="1" applyAlignment="1" applyProtection="1">
      <alignment horizontal="right" vertical="center"/>
    </xf>
    <xf numFmtId="0" fontId="6" fillId="0" borderId="36" xfId="0" applyFont="1" applyBorder="1" applyAlignment="1" applyProtection="1">
      <alignment horizontal="center" vertical="top"/>
    </xf>
    <xf numFmtId="2" fontId="6" fillId="0" borderId="37" xfId="0" applyNumberFormat="1" applyFont="1" applyBorder="1" applyAlignment="1" applyProtection="1">
      <alignment horizontal="right" vertical="center" wrapText="1"/>
    </xf>
    <xf numFmtId="2" fontId="6" fillId="0" borderId="38" xfId="0" applyNumberFormat="1" applyFont="1" applyBorder="1" applyAlignment="1" applyProtection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right" vertical="center"/>
    </xf>
    <xf numFmtId="3" fontId="6" fillId="0" borderId="37" xfId="0" applyNumberFormat="1" applyFont="1" applyFill="1" applyBorder="1" applyAlignment="1" applyProtection="1">
      <alignment horizontal="right" vertical="center"/>
    </xf>
    <xf numFmtId="3" fontId="6" fillId="0" borderId="38" xfId="0" applyNumberFormat="1" applyFont="1" applyFill="1" applyBorder="1" applyAlignment="1" applyProtection="1">
      <alignment horizontal="right" vertical="center"/>
    </xf>
    <xf numFmtId="4" fontId="6" fillId="0" borderId="39" xfId="0" applyNumberFormat="1" applyFont="1" applyFill="1" applyBorder="1" applyAlignment="1" applyProtection="1">
      <alignment horizontal="right" vertical="center"/>
    </xf>
    <xf numFmtId="4" fontId="6" fillId="0" borderId="38" xfId="0" applyNumberFormat="1" applyFont="1" applyFill="1" applyBorder="1" applyAlignment="1" applyProtection="1">
      <alignment horizontal="right" vertical="center"/>
    </xf>
    <xf numFmtId="3" fontId="5" fillId="0" borderId="36" xfId="0" applyNumberFormat="1" applyFont="1" applyFill="1" applyBorder="1" applyAlignment="1" applyProtection="1">
      <alignment horizontal="right" vertical="center"/>
    </xf>
    <xf numFmtId="3" fontId="5" fillId="0" borderId="40" xfId="0" applyNumberFormat="1" applyFont="1" applyFill="1" applyBorder="1" applyAlignment="1" applyProtection="1">
      <alignment horizontal="right" vertical="center"/>
    </xf>
    <xf numFmtId="4" fontId="5" fillId="4" borderId="20" xfId="0" applyNumberFormat="1" applyFont="1" applyFill="1" applyBorder="1" applyAlignment="1" applyProtection="1">
      <alignment horizontal="right" vertical="center"/>
    </xf>
    <xf numFmtId="167" fontId="5" fillId="4" borderId="20" xfId="0" applyNumberFormat="1" applyFont="1" applyFill="1" applyBorder="1" applyAlignment="1" applyProtection="1">
      <alignment horizontal="right" vertical="center"/>
    </xf>
    <xf numFmtId="4" fontId="6" fillId="4" borderId="21" xfId="0" applyNumberFormat="1" applyFont="1" applyFill="1" applyBorder="1" applyAlignment="1" applyProtection="1">
      <alignment horizontal="right" vertical="center"/>
    </xf>
    <xf numFmtId="4" fontId="6" fillId="4" borderId="23" xfId="0" applyNumberFormat="1" applyFont="1" applyFill="1" applyBorder="1" applyAlignment="1" applyProtection="1">
      <alignment horizontal="right" vertical="center"/>
    </xf>
    <xf numFmtId="4" fontId="6" fillId="4" borderId="22" xfId="0" applyNumberFormat="1" applyFont="1" applyFill="1" applyBorder="1" applyAlignment="1" applyProtection="1">
      <alignment horizontal="right" vertical="center"/>
    </xf>
    <xf numFmtId="4" fontId="5" fillId="4" borderId="24" xfId="0" applyNumberFormat="1" applyFont="1" applyFill="1" applyBorder="1" applyAlignment="1" applyProtection="1">
      <alignment horizontal="right" vertical="center"/>
    </xf>
    <xf numFmtId="0" fontId="24" fillId="0" borderId="0" xfId="0" applyFont="1"/>
    <xf numFmtId="168" fontId="0" fillId="0" borderId="0" xfId="0" applyNumberFormat="1"/>
    <xf numFmtId="0" fontId="25" fillId="0" borderId="0" xfId="0" applyFont="1" applyAlignment="1">
      <alignment vertical="center"/>
    </xf>
    <xf numFmtId="10" fontId="25" fillId="0" borderId="0" xfId="1" applyNumberFormat="1" applyFont="1" applyAlignment="1">
      <alignment vertical="center"/>
    </xf>
    <xf numFmtId="3" fontId="0" fillId="0" borderId="0" xfId="0" applyNumberFormat="1"/>
    <xf numFmtId="4" fontId="0" fillId="0" borderId="0" xfId="0" applyNumberFormat="1"/>
    <xf numFmtId="0" fontId="0" fillId="0" borderId="15" xfId="0" applyBorder="1"/>
    <xf numFmtId="0" fontId="5" fillId="0" borderId="15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 wrapText="1"/>
    </xf>
    <xf numFmtId="0" fontId="24" fillId="0" borderId="15" xfId="0" applyFont="1" applyBorder="1" applyAlignment="1">
      <alignment vertical="center"/>
    </xf>
    <xf numFmtId="2" fontId="6" fillId="0" borderId="15" xfId="0" applyNumberFormat="1" applyFont="1" applyBorder="1" applyAlignment="1" applyProtection="1">
      <alignment horizontal="center" vertical="center" wrapText="1"/>
    </xf>
    <xf numFmtId="4" fontId="27" fillId="0" borderId="17" xfId="0" applyNumberFormat="1" applyFont="1" applyBorder="1" applyAlignment="1">
      <alignment horizontal="center" vertical="center"/>
    </xf>
    <xf numFmtId="2" fontId="24" fillId="0" borderId="15" xfId="0" applyNumberFormat="1" applyFont="1" applyBorder="1" applyAlignment="1">
      <alignment horizontal="center" vertical="center"/>
    </xf>
    <xf numFmtId="0" fontId="28" fillId="14" borderId="15" xfId="0" applyFont="1" applyFill="1" applyBorder="1" applyAlignment="1">
      <alignment horizontal="right" vertical="center"/>
    </xf>
    <xf numFmtId="2" fontId="29" fillId="14" borderId="15" xfId="0" applyNumberFormat="1" applyFont="1" applyFill="1" applyBorder="1" applyAlignment="1" applyProtection="1">
      <alignment horizontal="center" vertical="center" wrapText="1"/>
    </xf>
    <xf numFmtId="4" fontId="30" fillId="14" borderId="17" xfId="0" applyNumberFormat="1" applyFont="1" applyFill="1" applyBorder="1" applyAlignment="1">
      <alignment horizontal="center" vertical="center"/>
    </xf>
    <xf numFmtId="10" fontId="28" fillId="14" borderId="15" xfId="1" applyNumberFormat="1" applyFont="1" applyFill="1" applyBorder="1" applyAlignment="1">
      <alignment horizontal="right" vertical="center"/>
    </xf>
    <xf numFmtId="4" fontId="24" fillId="0" borderId="15" xfId="0" applyNumberFormat="1" applyFont="1" applyBorder="1" applyAlignment="1">
      <alignment horizontal="center" vertical="center"/>
    </xf>
    <xf numFmtId="2" fontId="28" fillId="14" borderId="15" xfId="0" applyNumberFormat="1" applyFont="1" applyFill="1" applyBorder="1" applyAlignment="1">
      <alignment horizontal="right" vertical="center"/>
    </xf>
    <xf numFmtId="169" fontId="28" fillId="14" borderId="15" xfId="0" applyNumberFormat="1" applyFont="1" applyFill="1" applyBorder="1" applyAlignment="1">
      <alignment horizontal="right" vertical="center"/>
    </xf>
    <xf numFmtId="4" fontId="17" fillId="0" borderId="0" xfId="0" applyNumberFormat="1" applyFont="1"/>
    <xf numFmtId="170" fontId="0" fillId="0" borderId="0" xfId="0" applyNumberFormat="1"/>
    <xf numFmtId="0" fontId="31" fillId="0" borderId="0" xfId="0" applyFont="1"/>
    <xf numFmtId="0" fontId="21" fillId="9" borderId="27" xfId="0" applyFont="1" applyFill="1" applyBorder="1" applyAlignment="1">
      <alignment horizontal="left" vertical="top"/>
    </xf>
    <xf numFmtId="0" fontId="21" fillId="9" borderId="27" xfId="0" applyFont="1" applyFill="1" applyBorder="1" applyAlignment="1">
      <alignment horizontal="left" vertical="top" wrapText="1"/>
    </xf>
    <xf numFmtId="0" fontId="32" fillId="9" borderId="27" xfId="0" applyFont="1" applyFill="1" applyBorder="1" applyAlignment="1">
      <alignment horizontal="right" vertical="center"/>
    </xf>
    <xf numFmtId="171" fontId="33" fillId="9" borderId="27" xfId="0" applyNumberFormat="1" applyFont="1" applyFill="1" applyBorder="1" applyAlignment="1">
      <alignment horizontal="left" vertical="top" wrapText="1"/>
    </xf>
    <xf numFmtId="0" fontId="34" fillId="9" borderId="27" xfId="0" applyFont="1" applyFill="1" applyBorder="1" applyAlignment="1">
      <alignment horizontal="right" vertical="center"/>
    </xf>
    <xf numFmtId="171" fontId="21" fillId="9" borderId="27" xfId="0" applyNumberFormat="1" applyFont="1" applyFill="1" applyBorder="1" applyAlignment="1">
      <alignment horizontal="left" vertical="top" wrapText="1"/>
    </xf>
    <xf numFmtId="0" fontId="35" fillId="0" borderId="10" xfId="0" applyFont="1" applyBorder="1" applyAlignment="1" applyProtection="1">
      <alignment horizontal="center" vertical="center"/>
    </xf>
    <xf numFmtId="0" fontId="35" fillId="0" borderId="11" xfId="0" applyFont="1" applyBorder="1" applyAlignment="1" applyProtection="1">
      <alignment horizontal="center" vertical="center"/>
    </xf>
    <xf numFmtId="0" fontId="35" fillId="0" borderId="11" xfId="0" applyFont="1" applyBorder="1" applyAlignment="1" applyProtection="1">
      <alignment horizontal="center" vertical="center" wrapText="1"/>
    </xf>
    <xf numFmtId="0" fontId="35" fillId="0" borderId="5" xfId="0" applyFont="1" applyBorder="1" applyAlignment="1" applyProtection="1">
      <alignment horizontal="center" vertical="center" wrapText="1"/>
    </xf>
    <xf numFmtId="0" fontId="35" fillId="0" borderId="6" xfId="0" applyFont="1" applyBorder="1" applyAlignment="1" applyProtection="1">
      <alignment horizontal="center" vertical="center" wrapText="1"/>
    </xf>
    <xf numFmtId="49" fontId="36" fillId="0" borderId="14" xfId="0" applyNumberFormat="1" applyFont="1" applyBorder="1" applyAlignment="1" applyProtection="1">
      <alignment horizontal="center" vertical="center"/>
    </xf>
    <xf numFmtId="2" fontId="36" fillId="0" borderId="15" xfId="0" applyNumberFormat="1" applyFont="1" applyBorder="1" applyAlignment="1" applyProtection="1">
      <alignment vertical="center" wrapText="1"/>
    </xf>
    <xf numFmtId="2" fontId="36" fillId="0" borderId="16" xfId="0" applyNumberFormat="1" applyFont="1" applyBorder="1" applyAlignment="1" applyProtection="1">
      <alignment horizontal="center" vertical="center" wrapText="1"/>
    </xf>
    <xf numFmtId="172" fontId="35" fillId="4" borderId="14" xfId="0" applyNumberFormat="1" applyFont="1" applyFill="1" applyBorder="1" applyAlignment="1" applyProtection="1">
      <alignment horizontal="right" vertical="center"/>
    </xf>
    <xf numFmtId="164" fontId="38" fillId="4" borderId="8" xfId="0" applyNumberFormat="1" applyFont="1" applyFill="1" applyBorder="1" applyAlignment="1" applyProtection="1">
      <alignment horizontal="right" vertical="center"/>
    </xf>
    <xf numFmtId="166" fontId="35" fillId="4" borderId="14" xfId="0" applyNumberFormat="1" applyFont="1" applyFill="1" applyBorder="1" applyAlignment="1" applyProtection="1">
      <alignment horizontal="right" vertical="center"/>
    </xf>
    <xf numFmtId="2" fontId="25" fillId="0" borderId="31" xfId="0" applyNumberFormat="1" applyFont="1" applyFill="1" applyBorder="1" applyAlignment="1">
      <alignment horizontal="center" vertical="center"/>
    </xf>
    <xf numFmtId="2" fontId="35" fillId="0" borderId="41" xfId="0" applyNumberFormat="1" applyFont="1" applyFill="1" applyBorder="1" applyAlignment="1">
      <alignment horizontal="center" vertical="center"/>
    </xf>
    <xf numFmtId="4" fontId="36" fillId="4" borderId="32" xfId="0" applyNumberFormat="1" applyFont="1" applyFill="1" applyBorder="1" applyAlignment="1" applyProtection="1">
      <alignment horizontal="right" vertical="center"/>
    </xf>
    <xf numFmtId="2" fontId="35" fillId="15" borderId="15" xfId="0" applyNumberFormat="1" applyFont="1" applyFill="1" applyBorder="1" applyAlignment="1" applyProtection="1">
      <alignment vertical="center" wrapText="1"/>
    </xf>
    <xf numFmtId="2" fontId="35" fillId="4" borderId="14" xfId="0" applyNumberFormat="1" applyFont="1" applyFill="1" applyBorder="1" applyAlignment="1" applyProtection="1">
      <alignment horizontal="center" vertical="center"/>
    </xf>
    <xf numFmtId="2" fontId="36" fillId="9" borderId="15" xfId="0" applyNumberFormat="1" applyFont="1" applyFill="1" applyBorder="1" applyAlignment="1" applyProtection="1">
      <alignment horizontal="center" vertical="center"/>
    </xf>
    <xf numFmtId="2" fontId="36" fillId="4" borderId="15" xfId="0" applyNumberFormat="1" applyFont="1" applyFill="1" applyBorder="1" applyAlignment="1" applyProtection="1">
      <alignment horizontal="center" vertical="center"/>
    </xf>
    <xf numFmtId="171" fontId="36" fillId="4" borderId="15" xfId="0" applyNumberFormat="1" applyFont="1" applyFill="1" applyBorder="1" applyAlignment="1" applyProtection="1">
      <alignment horizontal="center" vertical="center"/>
    </xf>
    <xf numFmtId="171" fontId="36" fillId="4" borderId="18" xfId="0" applyNumberFormat="1" applyFont="1" applyFill="1" applyBorder="1" applyAlignment="1" applyProtection="1">
      <alignment horizontal="center" vertical="center"/>
    </xf>
    <xf numFmtId="171" fontId="36" fillId="4" borderId="35" xfId="0" applyNumberFormat="1" applyFont="1" applyFill="1" applyBorder="1" applyAlignment="1" applyProtection="1">
      <alignment horizontal="center" vertical="center"/>
    </xf>
    <xf numFmtId="4" fontId="35" fillId="16" borderId="42" xfId="0" applyNumberFormat="1" applyFont="1" applyFill="1" applyBorder="1" applyAlignment="1">
      <alignment vertical="center"/>
    </xf>
    <xf numFmtId="4" fontId="36" fillId="4" borderId="19" xfId="0" applyNumberFormat="1" applyFont="1" applyFill="1" applyBorder="1" applyAlignment="1" applyProtection="1">
      <alignment horizontal="right" vertical="center"/>
    </xf>
    <xf numFmtId="4" fontId="36" fillId="4" borderId="15" xfId="0" applyNumberFormat="1" applyFont="1" applyFill="1" applyBorder="1" applyAlignment="1" applyProtection="1">
      <alignment horizontal="right" vertical="center"/>
    </xf>
    <xf numFmtId="49" fontId="35" fillId="0" borderId="14" xfId="0" applyNumberFormat="1" applyFont="1" applyBorder="1" applyAlignment="1" applyProtection="1">
      <alignment horizontal="center" vertical="center"/>
    </xf>
    <xf numFmtId="2" fontId="35" fillId="0" borderId="15" xfId="0" applyNumberFormat="1" applyFont="1" applyBorder="1" applyAlignment="1" applyProtection="1">
      <alignment vertical="center" wrapText="1"/>
    </xf>
    <xf numFmtId="0" fontId="36" fillId="0" borderId="14" xfId="2" applyFont="1" applyBorder="1" applyAlignment="1" applyProtection="1">
      <alignment vertical="top"/>
    </xf>
    <xf numFmtId="4" fontId="35" fillId="7" borderId="15" xfId="2" applyNumberFormat="1" applyFont="1" applyFill="1" applyBorder="1" applyAlignment="1" applyProtection="1">
      <alignment horizontal="right" vertical="center"/>
      <protection locked="0"/>
    </xf>
    <xf numFmtId="164" fontId="35" fillId="7" borderId="19" xfId="2" applyNumberFormat="1" applyFont="1" applyFill="1" applyBorder="1" applyAlignment="1" applyProtection="1">
      <alignment horizontal="right" vertical="center"/>
      <protection locked="0"/>
    </xf>
    <xf numFmtId="164" fontId="35" fillId="7" borderId="18" xfId="2" applyNumberFormat="1" applyFont="1" applyFill="1" applyBorder="1" applyAlignment="1" applyProtection="1">
      <alignment horizontal="right" vertical="center"/>
      <protection locked="0"/>
    </xf>
    <xf numFmtId="4" fontId="35" fillId="7" borderId="19" xfId="2" applyNumberFormat="1" applyFont="1" applyFill="1" applyBorder="1" applyAlignment="1" applyProtection="1">
      <alignment horizontal="right" vertical="center"/>
      <protection locked="0"/>
    </xf>
    <xf numFmtId="4" fontId="35" fillId="7" borderId="16" xfId="2" applyNumberFormat="1" applyFont="1" applyFill="1" applyBorder="1" applyAlignment="1" applyProtection="1">
      <alignment horizontal="right" vertical="center"/>
      <protection locked="0"/>
    </xf>
    <xf numFmtId="173" fontId="36" fillId="0" borderId="15" xfId="3" applyFont="1" applyBorder="1" applyAlignment="1" applyProtection="1">
      <alignment vertical="top"/>
    </xf>
    <xf numFmtId="0" fontId="36" fillId="0" borderId="16" xfId="0" applyFont="1" applyBorder="1" applyAlignment="1" applyProtection="1">
      <alignment vertical="top"/>
    </xf>
    <xf numFmtId="164" fontId="39" fillId="0" borderId="15" xfId="2" applyNumberFormat="1" applyFont="1" applyFill="1" applyBorder="1" applyAlignment="1" applyProtection="1">
      <alignment horizontal="right" vertical="center"/>
    </xf>
    <xf numFmtId="164" fontId="35" fillId="8" borderId="15" xfId="2" applyNumberFormat="1" applyFont="1" applyFill="1" applyBorder="1" applyAlignment="1" applyProtection="1">
      <alignment horizontal="right" vertical="center"/>
      <protection locked="0"/>
    </xf>
    <xf numFmtId="164" fontId="35" fillId="8" borderId="18" xfId="2" applyNumberFormat="1" applyFont="1" applyFill="1" applyBorder="1" applyAlignment="1" applyProtection="1">
      <alignment horizontal="right" vertical="center"/>
      <protection locked="0"/>
    </xf>
    <xf numFmtId="0" fontId="36" fillId="8" borderId="14" xfId="2" applyFont="1" applyFill="1" applyBorder="1" applyAlignment="1" applyProtection="1">
      <alignment vertical="top"/>
    </xf>
    <xf numFmtId="4" fontId="39" fillId="0" borderId="15" xfId="2" applyNumberFormat="1" applyFont="1" applyFill="1" applyBorder="1" applyAlignment="1" applyProtection="1">
      <alignment horizontal="right" vertical="center"/>
    </xf>
    <xf numFmtId="4" fontId="35" fillId="8" borderId="19" xfId="2" applyNumberFormat="1" applyFont="1" applyFill="1" applyBorder="1" applyAlignment="1" applyProtection="1">
      <alignment horizontal="right" vertical="center"/>
      <protection locked="0"/>
    </xf>
    <xf numFmtId="4" fontId="35" fillId="8" borderId="16" xfId="2" applyNumberFormat="1" applyFont="1" applyFill="1" applyBorder="1" applyAlignment="1" applyProtection="1">
      <alignment horizontal="right" vertical="center"/>
      <protection locked="0"/>
    </xf>
    <xf numFmtId="2" fontId="36" fillId="0" borderId="14" xfId="0" applyNumberFormat="1" applyFont="1" applyBorder="1" applyAlignment="1" applyProtection="1">
      <alignment vertical="top"/>
    </xf>
    <xf numFmtId="2" fontId="36" fillId="0" borderId="15" xfId="0" applyNumberFormat="1" applyFont="1" applyBorder="1" applyAlignment="1" applyProtection="1">
      <alignment vertical="top"/>
    </xf>
    <xf numFmtId="164" fontId="39" fillId="0" borderId="19" xfId="2" applyNumberFormat="1" applyFont="1" applyFill="1" applyBorder="1" applyAlignment="1" applyProtection="1">
      <alignment horizontal="right" vertical="center"/>
    </xf>
    <xf numFmtId="4" fontId="39" fillId="0" borderId="19" xfId="2" applyNumberFormat="1" applyFont="1" applyFill="1" applyBorder="1" applyAlignment="1" applyProtection="1">
      <alignment horizontal="right" vertical="center"/>
    </xf>
    <xf numFmtId="4" fontId="39" fillId="0" borderId="16" xfId="2" applyNumberFormat="1" applyFont="1" applyFill="1" applyBorder="1" applyAlignment="1" applyProtection="1">
      <alignment horizontal="right" vertical="center"/>
    </xf>
    <xf numFmtId="0" fontId="36" fillId="0" borderId="14" xfId="0" applyFont="1" applyBorder="1" applyAlignment="1" applyProtection="1">
      <alignment vertical="top"/>
    </xf>
    <xf numFmtId="0" fontId="36" fillId="0" borderId="15" xfId="0" applyFont="1" applyBorder="1" applyAlignment="1" applyProtection="1">
      <alignment vertical="top"/>
    </xf>
    <xf numFmtId="0" fontId="40" fillId="0" borderId="26" xfId="0" applyFont="1" applyBorder="1" applyAlignment="1">
      <alignment vertical="top"/>
    </xf>
    <xf numFmtId="4" fontId="41" fillId="9" borderId="14" xfId="2" applyNumberFormat="1" applyFont="1" applyFill="1" applyBorder="1" applyAlignment="1" applyProtection="1">
      <alignment horizontal="right" vertical="center"/>
    </xf>
    <xf numFmtId="164" fontId="35" fillId="7" borderId="15" xfId="2" applyNumberFormat="1" applyFont="1" applyFill="1" applyBorder="1" applyAlignment="1" applyProtection="1">
      <alignment horizontal="right" vertical="center"/>
      <protection locked="0"/>
    </xf>
    <xf numFmtId="4" fontId="41" fillId="9" borderId="14" xfId="0" applyNumberFormat="1" applyFont="1" applyFill="1" applyBorder="1" applyAlignment="1" applyProtection="1">
      <alignment horizontal="right" vertical="center"/>
    </xf>
    <xf numFmtId="4" fontId="41" fillId="8" borderId="15" xfId="0" applyNumberFormat="1" applyFont="1" applyFill="1" applyBorder="1" applyAlignment="1" applyProtection="1">
      <alignment horizontal="right" vertical="center"/>
    </xf>
    <xf numFmtId="2" fontId="42" fillId="0" borderId="15" xfId="0" applyNumberFormat="1" applyFont="1" applyFill="1" applyBorder="1" applyAlignment="1" applyProtection="1">
      <alignment horizontal="right" vertical="center" wrapText="1"/>
    </xf>
    <xf numFmtId="0" fontId="35" fillId="0" borderId="16" xfId="0" applyFont="1" applyBorder="1" applyAlignment="1" applyProtection="1">
      <alignment vertical="top"/>
    </xf>
    <xf numFmtId="0" fontId="35" fillId="0" borderId="14" xfId="0" applyFont="1" applyBorder="1" applyAlignment="1" applyProtection="1">
      <alignment vertical="top"/>
    </xf>
    <xf numFmtId="4" fontId="43" fillId="0" borderId="15" xfId="0" applyNumberFormat="1" applyFont="1" applyFill="1" applyBorder="1" applyAlignment="1" applyProtection="1">
      <alignment horizontal="right" vertical="center"/>
    </xf>
    <xf numFmtId="4" fontId="43" fillId="0" borderId="19" xfId="0" applyNumberFormat="1" applyFont="1" applyFill="1" applyBorder="1" applyAlignment="1" applyProtection="1">
      <alignment horizontal="right" vertical="center"/>
    </xf>
    <xf numFmtId="164" fontId="42" fillId="0" borderId="14" xfId="2" applyNumberFormat="1" applyFont="1" applyFill="1" applyBorder="1" applyAlignment="1" applyProtection="1">
      <alignment horizontal="right" vertical="center"/>
    </xf>
    <xf numFmtId="4" fontId="42" fillId="0" borderId="14" xfId="0" applyNumberFormat="1" applyFont="1" applyFill="1" applyBorder="1" applyAlignment="1" applyProtection="1">
      <alignment horizontal="right" vertical="center"/>
    </xf>
    <xf numFmtId="4" fontId="42" fillId="0" borderId="15" xfId="0" applyNumberFormat="1" applyFont="1" applyFill="1" applyBorder="1" applyAlignment="1" applyProtection="1">
      <alignment horizontal="right" vertical="center"/>
    </xf>
    <xf numFmtId="0" fontId="35" fillId="0" borderId="16" xfId="0" applyFont="1" applyFill="1" applyBorder="1" applyAlignment="1" applyProtection="1">
      <alignment vertical="top"/>
    </xf>
    <xf numFmtId="0" fontId="36" fillId="0" borderId="14" xfId="0" applyFont="1" applyBorder="1" applyAlignment="1" applyProtection="1">
      <alignment horizontal="center" vertical="top"/>
    </xf>
    <xf numFmtId="4" fontId="35" fillId="4" borderId="14" xfId="2" applyNumberFormat="1" applyFont="1" applyFill="1" applyBorder="1" applyAlignment="1" applyProtection="1">
      <alignment horizontal="right" vertical="center"/>
    </xf>
    <xf numFmtId="4" fontId="36" fillId="4" borderId="15" xfId="2" applyNumberFormat="1" applyFont="1" applyFill="1" applyBorder="1" applyAlignment="1" applyProtection="1">
      <alignment horizontal="right" vertical="center"/>
    </xf>
    <xf numFmtId="167" fontId="35" fillId="4" borderId="14" xfId="2" applyNumberFormat="1" applyFont="1" applyFill="1" applyBorder="1" applyAlignment="1" applyProtection="1">
      <alignment horizontal="right" vertical="center"/>
    </xf>
    <xf numFmtId="173" fontId="35" fillId="4" borderId="14" xfId="3" applyFont="1" applyFill="1" applyBorder="1" applyAlignment="1" applyProtection="1">
      <alignment horizontal="right" vertical="center"/>
    </xf>
    <xf numFmtId="0" fontId="36" fillId="0" borderId="36" xfId="0" applyFont="1" applyBorder="1" applyAlignment="1" applyProtection="1">
      <alignment horizontal="center" vertical="top"/>
    </xf>
    <xf numFmtId="2" fontId="36" fillId="0" borderId="37" xfId="0" applyNumberFormat="1" applyFont="1" applyBorder="1" applyAlignment="1" applyProtection="1">
      <alignment horizontal="right" vertical="center" wrapText="1"/>
    </xf>
    <xf numFmtId="2" fontId="36" fillId="0" borderId="38" xfId="0" applyNumberFormat="1" applyFont="1" applyBorder="1" applyAlignment="1" applyProtection="1">
      <alignment horizontal="center" vertical="center" wrapText="1"/>
    </xf>
    <xf numFmtId="4" fontId="36" fillId="0" borderId="14" xfId="2" applyNumberFormat="1" applyFont="1" applyFill="1" applyBorder="1" applyAlignment="1" applyProtection="1">
      <alignment horizontal="right" vertical="center"/>
    </xf>
    <xf numFmtId="3" fontId="36" fillId="0" borderId="37" xfId="2" applyNumberFormat="1" applyFont="1" applyFill="1" applyBorder="1" applyAlignment="1" applyProtection="1">
      <alignment horizontal="right" vertical="center"/>
    </xf>
    <xf numFmtId="3" fontId="36" fillId="0" borderId="16" xfId="0" applyNumberFormat="1" applyFont="1" applyFill="1" applyBorder="1" applyAlignment="1" applyProtection="1">
      <alignment horizontal="right" vertical="center"/>
    </xf>
    <xf numFmtId="0" fontId="36" fillId="0" borderId="20" xfId="0" applyFont="1" applyBorder="1" applyAlignment="1" applyProtection="1">
      <alignment horizontal="center" vertical="top"/>
    </xf>
    <xf numFmtId="2" fontId="35" fillId="15" borderId="21" xfId="0" applyNumberFormat="1" applyFont="1" applyFill="1" applyBorder="1" applyAlignment="1" applyProtection="1">
      <alignment vertical="center" wrapText="1"/>
    </xf>
    <xf numFmtId="2" fontId="36" fillId="0" borderId="22" xfId="0" applyNumberFormat="1" applyFont="1" applyBorder="1" applyAlignment="1" applyProtection="1">
      <alignment horizontal="center" vertical="center" wrapText="1"/>
    </xf>
    <xf numFmtId="3" fontId="36" fillId="4" borderId="21" xfId="2" applyNumberFormat="1" applyFont="1" applyFill="1" applyBorder="1" applyAlignment="1" applyProtection="1">
      <alignment horizontal="right" vertical="center"/>
    </xf>
    <xf numFmtId="3" fontId="36" fillId="4" borderId="23" xfId="2" applyNumberFormat="1" applyFont="1" applyFill="1" applyBorder="1" applyAlignment="1" applyProtection="1">
      <alignment horizontal="right" vertical="center"/>
    </xf>
    <xf numFmtId="167" fontId="35" fillId="4" borderId="20" xfId="2" applyNumberFormat="1" applyFont="1" applyFill="1" applyBorder="1" applyAlignment="1" applyProtection="1">
      <alignment horizontal="right" vertical="center"/>
    </xf>
    <xf numFmtId="4" fontId="36" fillId="4" borderId="21" xfId="2" applyNumberFormat="1" applyFont="1" applyFill="1" applyBorder="1" applyAlignment="1" applyProtection="1">
      <alignment horizontal="right" vertical="center"/>
    </xf>
    <xf numFmtId="4" fontId="36" fillId="4" borderId="23" xfId="2" applyNumberFormat="1" applyFont="1" applyFill="1" applyBorder="1" applyAlignment="1" applyProtection="1">
      <alignment horizontal="right" vertical="center"/>
    </xf>
    <xf numFmtId="4" fontId="36" fillId="4" borderId="22" xfId="2" applyNumberFormat="1" applyFont="1" applyFill="1" applyBorder="1" applyAlignment="1" applyProtection="1">
      <alignment horizontal="right" vertical="center"/>
    </xf>
    <xf numFmtId="173" fontId="35" fillId="15" borderId="20" xfId="3" applyFont="1" applyFill="1" applyBorder="1" applyAlignment="1" applyProtection="1">
      <alignment horizontal="right" vertical="center"/>
    </xf>
    <xf numFmtId="4" fontId="36" fillId="4" borderId="21" xfId="0" applyNumberFormat="1" applyFont="1" applyFill="1" applyBorder="1" applyAlignment="1" applyProtection="1">
      <alignment horizontal="right" vertical="center"/>
    </xf>
    <xf numFmtId="0" fontId="36" fillId="0" borderId="0" xfId="0" applyFont="1" applyAlignment="1" applyProtection="1">
      <alignment vertical="top"/>
    </xf>
    <xf numFmtId="0" fontId="43" fillId="11" borderId="0" xfId="0" applyFont="1" applyFill="1" applyAlignment="1" applyProtection="1">
      <alignment horizontal="right" vertical="top"/>
    </xf>
    <xf numFmtId="0" fontId="36" fillId="11" borderId="0" xfId="0" applyFont="1" applyFill="1" applyAlignment="1" applyProtection="1">
      <alignment vertical="top"/>
    </xf>
    <xf numFmtId="4" fontId="44" fillId="11" borderId="0" xfId="0" applyNumberFormat="1" applyFont="1" applyFill="1" applyAlignment="1" applyProtection="1">
      <alignment vertical="top"/>
    </xf>
    <xf numFmtId="2" fontId="0" fillId="0" borderId="0" xfId="0" applyNumberFormat="1"/>
    <xf numFmtId="0" fontId="40" fillId="0" borderId="0" xfId="0" applyFont="1"/>
    <xf numFmtId="173" fontId="45" fillId="17" borderId="0" xfId="0" applyNumberFormat="1" applyFont="1" applyFill="1"/>
    <xf numFmtId="2" fontId="40" fillId="0" borderId="0" xfId="0" applyNumberFormat="1" applyFont="1"/>
    <xf numFmtId="2" fontId="35" fillId="9" borderId="27" xfId="0" applyNumberFormat="1" applyFont="1" applyFill="1" applyBorder="1" applyAlignment="1">
      <alignment horizontal="left" vertical="top" wrapText="1"/>
    </xf>
    <xf numFmtId="2" fontId="35" fillId="0" borderId="10" xfId="0" applyNumberFormat="1" applyFont="1" applyBorder="1" applyAlignment="1" applyProtection="1">
      <alignment horizontal="center" vertical="center"/>
    </xf>
    <xf numFmtId="2" fontId="35" fillId="0" borderId="11" xfId="0" applyNumberFormat="1" applyFont="1" applyBorder="1" applyAlignment="1" applyProtection="1">
      <alignment horizontal="center" vertical="center"/>
    </xf>
    <xf numFmtId="2" fontId="35" fillId="0" borderId="11" xfId="0" applyNumberFormat="1" applyFont="1" applyBorder="1" applyAlignment="1" applyProtection="1">
      <alignment horizontal="center" vertical="center" wrapText="1"/>
    </xf>
    <xf numFmtId="2" fontId="35" fillId="0" borderId="5" xfId="0" applyNumberFormat="1" applyFont="1" applyBorder="1" applyAlignment="1" applyProtection="1">
      <alignment horizontal="center" vertical="center" wrapText="1"/>
    </xf>
    <xf numFmtId="2" fontId="35" fillId="4" borderId="7" xfId="0" applyNumberFormat="1" applyFont="1" applyFill="1" applyBorder="1" applyAlignment="1" applyProtection="1">
      <alignment horizontal="right" vertical="center"/>
    </xf>
    <xf numFmtId="2" fontId="38" fillId="4" borderId="8" xfId="0" applyNumberFormat="1" applyFont="1" applyFill="1" applyBorder="1" applyAlignment="1" applyProtection="1">
      <alignment horizontal="right" vertical="center"/>
    </xf>
    <xf numFmtId="4" fontId="47" fillId="16" borderId="44" xfId="0" applyNumberFormat="1" applyFont="1" applyFill="1" applyBorder="1" applyAlignment="1">
      <alignment vertical="center"/>
    </xf>
    <xf numFmtId="4" fontId="6" fillId="4" borderId="32" xfId="0" applyNumberFormat="1" applyFont="1" applyFill="1" applyBorder="1" applyAlignment="1" applyProtection="1">
      <alignment horizontal="right" vertical="center"/>
    </xf>
    <xf numFmtId="2" fontId="5" fillId="15" borderId="15" xfId="0" applyNumberFormat="1" applyFont="1" applyFill="1" applyBorder="1" applyAlignment="1" applyProtection="1">
      <alignment vertical="center" wrapText="1"/>
    </xf>
    <xf numFmtId="2" fontId="5" fillId="15" borderId="16" xfId="0" applyNumberFormat="1" applyFont="1" applyFill="1" applyBorder="1" applyAlignment="1" applyProtection="1">
      <alignment horizontal="center" vertical="center" wrapText="1"/>
    </xf>
    <xf numFmtId="2" fontId="35" fillId="15" borderId="14" xfId="0" applyNumberFormat="1" applyFont="1" applyFill="1" applyBorder="1" applyAlignment="1" applyProtection="1">
      <alignment horizontal="right" vertical="center"/>
    </xf>
    <xf numFmtId="2" fontId="36" fillId="15" borderId="15" xfId="0" applyNumberFormat="1" applyFont="1" applyFill="1" applyBorder="1" applyAlignment="1" applyProtection="1">
      <alignment horizontal="right" vertical="center"/>
    </xf>
    <xf numFmtId="0" fontId="5" fillId="18" borderId="15" xfId="0" applyFont="1" applyFill="1" applyBorder="1" applyAlignment="1" applyProtection="1">
      <alignment horizontal="center" vertical="center" wrapText="1"/>
    </xf>
    <xf numFmtId="0" fontId="5" fillId="18" borderId="16" xfId="0" applyFont="1" applyFill="1" applyBorder="1" applyAlignment="1" applyProtection="1">
      <alignment horizontal="center" vertical="center" wrapText="1"/>
    </xf>
    <xf numFmtId="2" fontId="36" fillId="15" borderId="14" xfId="0" applyNumberFormat="1" applyFont="1" applyFill="1" applyBorder="1" applyAlignment="1" applyProtection="1">
      <alignment vertical="top"/>
    </xf>
    <xf numFmtId="2" fontId="36" fillId="15" borderId="15" xfId="0" applyNumberFormat="1" applyFont="1" applyFill="1" applyBorder="1" applyAlignment="1" applyProtection="1">
      <alignment vertical="top"/>
    </xf>
    <xf numFmtId="2" fontId="36" fillId="15" borderId="18" xfId="0" applyNumberFormat="1" applyFont="1" applyFill="1" applyBorder="1" applyAlignment="1" applyProtection="1">
      <alignment vertical="top"/>
    </xf>
    <xf numFmtId="0" fontId="36" fillId="6" borderId="14" xfId="0" applyFont="1" applyFill="1" applyBorder="1" applyAlignment="1" applyProtection="1">
      <alignment vertical="top"/>
    </xf>
    <xf numFmtId="0" fontId="36" fillId="6" borderId="15" xfId="0" applyFont="1" applyFill="1" applyBorder="1" applyAlignment="1" applyProtection="1">
      <alignment vertical="top"/>
    </xf>
    <xf numFmtId="0" fontId="36" fillId="6" borderId="16" xfId="0" applyFont="1" applyFill="1" applyBorder="1" applyAlignment="1" applyProtection="1">
      <alignment vertical="top"/>
    </xf>
    <xf numFmtId="2" fontId="35" fillId="15" borderId="15" xfId="0" applyNumberFormat="1" applyFont="1" applyFill="1" applyBorder="1" applyAlignment="1" applyProtection="1">
      <alignment horizontal="right" vertical="center"/>
      <protection locked="0"/>
    </xf>
    <xf numFmtId="2" fontId="35" fillId="15" borderId="19" xfId="0" applyNumberFormat="1" applyFont="1" applyFill="1" applyBorder="1" applyAlignment="1" applyProtection="1">
      <alignment horizontal="right" vertical="center"/>
      <protection locked="0"/>
    </xf>
    <xf numFmtId="2" fontId="35" fillId="15" borderId="18" xfId="0" applyNumberFormat="1" applyFont="1" applyFill="1" applyBorder="1" applyAlignment="1" applyProtection="1">
      <alignment horizontal="right" vertical="center"/>
      <protection locked="0"/>
    </xf>
    <xf numFmtId="2" fontId="39" fillId="15" borderId="15" xfId="0" applyNumberFormat="1" applyFont="1" applyFill="1" applyBorder="1" applyAlignment="1" applyProtection="1">
      <alignment horizontal="right" vertical="center"/>
    </xf>
    <xf numFmtId="0" fontId="48" fillId="15" borderId="26" xfId="0" applyFont="1" applyFill="1" applyBorder="1" applyAlignment="1">
      <alignment vertical="top"/>
    </xf>
    <xf numFmtId="2" fontId="41" fillId="15" borderId="14" xfId="0" applyNumberFormat="1" applyFont="1" applyFill="1" applyBorder="1" applyAlignment="1" applyProtection="1">
      <alignment horizontal="right" vertical="center"/>
    </xf>
    <xf numFmtId="2" fontId="35" fillId="15" borderId="16" xfId="0" applyNumberFormat="1" applyFont="1" applyFill="1" applyBorder="1" applyAlignment="1" applyProtection="1">
      <alignment horizontal="right" vertical="center"/>
      <protection locked="0"/>
    </xf>
    <xf numFmtId="0" fontId="5" fillId="0" borderId="14" xfId="0" applyFont="1" applyBorder="1" applyAlignment="1" applyProtection="1">
      <alignment vertical="top"/>
    </xf>
    <xf numFmtId="2" fontId="20" fillId="15" borderId="15" xfId="0" applyNumberFormat="1" applyFont="1" applyFill="1" applyBorder="1" applyAlignment="1" applyProtection="1">
      <alignment horizontal="right" vertical="center" wrapText="1"/>
    </xf>
    <xf numFmtId="0" fontId="5" fillId="15" borderId="16" xfId="0" applyFont="1" applyFill="1" applyBorder="1" applyAlignment="1" applyProtection="1">
      <alignment vertical="top"/>
    </xf>
    <xf numFmtId="0" fontId="36" fillId="0" borderId="16" xfId="0" applyFont="1" applyFill="1" applyBorder="1" applyAlignment="1" applyProtection="1">
      <alignment vertical="top"/>
    </xf>
    <xf numFmtId="0" fontId="5" fillId="0" borderId="14" xfId="0" applyFont="1" applyBorder="1" applyAlignment="1" applyProtection="1">
      <alignment horizontal="center" vertical="top"/>
    </xf>
    <xf numFmtId="2" fontId="36" fillId="15" borderId="19" xfId="0" applyNumberFormat="1" applyFont="1" applyFill="1" applyBorder="1" applyAlignment="1" applyProtection="1">
      <alignment horizontal="right" vertical="center"/>
    </xf>
    <xf numFmtId="0" fontId="5" fillId="0" borderId="36" xfId="0" applyFont="1" applyBorder="1" applyAlignment="1" applyProtection="1">
      <alignment horizontal="center" vertical="top"/>
    </xf>
    <xf numFmtId="2" fontId="5" fillId="15" borderId="37" xfId="0" applyNumberFormat="1" applyFont="1" applyFill="1" applyBorder="1" applyAlignment="1" applyProtection="1">
      <alignment horizontal="right" vertical="center" wrapText="1"/>
    </xf>
    <xf numFmtId="2" fontId="5" fillId="15" borderId="38" xfId="0" applyNumberFormat="1" applyFont="1" applyFill="1" applyBorder="1" applyAlignment="1" applyProtection="1">
      <alignment horizontal="center" vertical="center" wrapText="1"/>
    </xf>
    <xf numFmtId="2" fontId="36" fillId="15" borderId="14" xfId="0" applyNumberFormat="1" applyFont="1" applyFill="1" applyBorder="1" applyAlignment="1" applyProtection="1">
      <alignment horizontal="right" vertical="center"/>
    </xf>
    <xf numFmtId="2" fontId="36" fillId="0" borderId="37" xfId="2" applyNumberFormat="1" applyFont="1" applyFill="1" applyBorder="1" applyAlignment="1" applyProtection="1">
      <alignment horizontal="right" vertical="center"/>
    </xf>
    <xf numFmtId="0" fontId="5" fillId="0" borderId="20" xfId="0" applyFont="1" applyBorder="1" applyAlignment="1" applyProtection="1">
      <alignment horizontal="center" vertical="top"/>
    </xf>
    <xf numFmtId="2" fontId="5" fillId="15" borderId="21" xfId="0" applyNumberFormat="1" applyFont="1" applyFill="1" applyBorder="1" applyAlignment="1" applyProtection="1">
      <alignment vertical="center" wrapText="1"/>
    </xf>
    <xf numFmtId="2" fontId="5" fillId="15" borderId="22" xfId="0" applyNumberFormat="1" applyFont="1" applyFill="1" applyBorder="1" applyAlignment="1" applyProtection="1">
      <alignment horizontal="center" vertical="center" wrapText="1"/>
    </xf>
    <xf numFmtId="2" fontId="36" fillId="15" borderId="21" xfId="0" applyNumberFormat="1" applyFont="1" applyFill="1" applyBorder="1" applyAlignment="1" applyProtection="1">
      <alignment horizontal="right" vertical="center"/>
    </xf>
    <xf numFmtId="2" fontId="36" fillId="15" borderId="23" xfId="0" applyNumberFormat="1" applyFont="1" applyFill="1" applyBorder="1" applyAlignment="1" applyProtection="1">
      <alignment horizontal="right" vertical="center"/>
    </xf>
    <xf numFmtId="2" fontId="44" fillId="11" borderId="0" xfId="0" applyNumberFormat="1" applyFont="1" applyFill="1" applyAlignment="1" applyProtection="1">
      <alignment vertical="top"/>
    </xf>
    <xf numFmtId="173" fontId="49" fillId="17" borderId="0" xfId="0" applyNumberFormat="1" applyFont="1" applyFill="1"/>
    <xf numFmtId="0" fontId="50" fillId="0" borderId="0" xfId="4"/>
    <xf numFmtId="0" fontId="51" fillId="19" borderId="37" xfId="4" applyFont="1" applyFill="1" applyBorder="1"/>
    <xf numFmtId="2" fontId="52" fillId="0" borderId="0" xfId="4" applyNumberFormat="1" applyFont="1"/>
    <xf numFmtId="0" fontId="47" fillId="8" borderId="10" xfId="4" applyFont="1" applyFill="1" applyBorder="1" applyAlignment="1" applyProtection="1">
      <alignment horizontal="center" vertical="center"/>
    </xf>
    <xf numFmtId="0" fontId="47" fillId="8" borderId="11" xfId="4" applyFont="1" applyFill="1" applyBorder="1" applyAlignment="1" applyProtection="1">
      <alignment horizontal="center" vertical="center"/>
    </xf>
    <xf numFmtId="0" fontId="47" fillId="8" borderId="11" xfId="4" applyFont="1" applyFill="1" applyBorder="1" applyAlignment="1" applyProtection="1">
      <alignment horizontal="center" vertical="center" wrapText="1"/>
    </xf>
    <xf numFmtId="0" fontId="47" fillId="8" borderId="5" xfId="4" applyFont="1" applyFill="1" applyBorder="1" applyAlignment="1" applyProtection="1">
      <alignment horizontal="center" vertical="center" wrapText="1"/>
    </xf>
    <xf numFmtId="0" fontId="2" fillId="8" borderId="10" xfId="4" applyFont="1" applyFill="1" applyBorder="1" applyAlignment="1" applyProtection="1">
      <alignment horizontal="center" vertical="center"/>
    </xf>
    <xf numFmtId="0" fontId="2" fillId="8" borderId="11" xfId="4" applyFont="1" applyFill="1" applyBorder="1" applyAlignment="1" applyProtection="1">
      <alignment horizontal="center" vertical="center"/>
    </xf>
    <xf numFmtId="0" fontId="2" fillId="8" borderId="13" xfId="4" applyFont="1" applyFill="1" applyBorder="1" applyAlignment="1" applyProtection="1">
      <alignment horizontal="center" vertical="center" wrapText="1"/>
    </xf>
    <xf numFmtId="49" fontId="6" fillId="8" borderId="14" xfId="4" applyNumberFormat="1" applyFont="1" applyFill="1" applyBorder="1" applyAlignment="1" applyProtection="1">
      <alignment horizontal="center" vertical="center"/>
    </xf>
    <xf numFmtId="4" fontId="5" fillId="8" borderId="14" xfId="4" applyNumberFormat="1" applyFont="1" applyFill="1" applyBorder="1" applyAlignment="1" applyProtection="1">
      <alignment horizontal="center" vertical="center"/>
    </xf>
    <xf numFmtId="4" fontId="6" fillId="8" borderId="8" xfId="4" applyNumberFormat="1" applyFont="1" applyFill="1" applyBorder="1" applyAlignment="1" applyProtection="1">
      <alignment horizontal="center" vertical="center"/>
    </xf>
    <xf numFmtId="4" fontId="5" fillId="8" borderId="31" xfId="4" applyNumberFormat="1" applyFont="1" applyFill="1" applyBorder="1" applyAlignment="1">
      <alignment horizontal="center" vertical="center"/>
    </xf>
    <xf numFmtId="4" fontId="5" fillId="8" borderId="32" xfId="4" applyNumberFormat="1" applyFont="1" applyFill="1" applyBorder="1" applyAlignment="1">
      <alignment horizontal="center" vertical="center"/>
    </xf>
    <xf numFmtId="4" fontId="5" fillId="8" borderId="45" xfId="4" applyNumberFormat="1" applyFont="1" applyFill="1" applyBorder="1" applyAlignment="1" applyProtection="1">
      <alignment horizontal="center" vertical="center"/>
    </xf>
    <xf numFmtId="4" fontId="5" fillId="8" borderId="32" xfId="4" applyNumberFormat="1" applyFont="1" applyFill="1" applyBorder="1" applyAlignment="1" applyProtection="1">
      <alignment horizontal="center" vertical="center"/>
    </xf>
    <xf numFmtId="4" fontId="5" fillId="8" borderId="41" xfId="4" applyNumberFormat="1" applyFont="1" applyFill="1" applyBorder="1" applyAlignment="1" applyProtection="1">
      <alignment horizontal="center" vertical="center"/>
    </xf>
    <xf numFmtId="0" fontId="54" fillId="0" borderId="0" xfId="4" applyFont="1"/>
    <xf numFmtId="4" fontId="6" fillId="8" borderId="15" xfId="4" applyNumberFormat="1" applyFont="1" applyFill="1" applyBorder="1" applyAlignment="1" applyProtection="1">
      <alignment horizontal="center" vertical="center"/>
    </xf>
    <xf numFmtId="4" fontId="5" fillId="8" borderId="42" xfId="4" applyNumberFormat="1" applyFont="1" applyFill="1" applyBorder="1" applyAlignment="1">
      <alignment horizontal="center" vertical="center"/>
    </xf>
    <xf numFmtId="4" fontId="6" fillId="8" borderId="19" xfId="4" applyNumberFormat="1" applyFont="1" applyFill="1" applyBorder="1" applyAlignment="1" applyProtection="1">
      <alignment horizontal="center" vertical="center"/>
    </xf>
    <xf numFmtId="4" fontId="6" fillId="8" borderId="16" xfId="4" applyNumberFormat="1" applyFont="1" applyFill="1" applyBorder="1" applyAlignment="1" applyProtection="1">
      <alignment horizontal="center" vertical="center"/>
    </xf>
    <xf numFmtId="2" fontId="5" fillId="8" borderId="15" xfId="4" applyNumberFormat="1" applyFont="1" applyFill="1" applyBorder="1" applyAlignment="1" applyProtection="1">
      <alignment vertical="center" wrapText="1"/>
    </xf>
    <xf numFmtId="4" fontId="6" fillId="8" borderId="14" xfId="2" applyNumberFormat="1" applyFont="1" applyFill="1" applyBorder="1" applyAlignment="1" applyProtection="1">
      <alignment horizontal="center" vertical="top"/>
    </xf>
    <xf numFmtId="4" fontId="5" fillId="8" borderId="15" xfId="2" applyNumberFormat="1" applyFont="1" applyFill="1" applyBorder="1" applyAlignment="1" applyProtection="1">
      <alignment horizontal="center" vertical="center"/>
      <protection locked="0"/>
    </xf>
    <xf numFmtId="4" fontId="5" fillId="8" borderId="16" xfId="2" applyNumberFormat="1" applyFont="1" applyFill="1" applyBorder="1" applyAlignment="1" applyProtection="1">
      <alignment horizontal="center" vertical="center"/>
      <protection locked="0"/>
    </xf>
    <xf numFmtId="4" fontId="5" fillId="8" borderId="19" xfId="2" applyNumberFormat="1" applyFont="1" applyFill="1" applyBorder="1" applyAlignment="1" applyProtection="1">
      <alignment horizontal="center" vertical="center"/>
      <protection locked="0"/>
    </xf>
    <xf numFmtId="4" fontId="6" fillId="8" borderId="14" xfId="4" applyNumberFormat="1" applyFont="1" applyFill="1" applyBorder="1" applyAlignment="1" applyProtection="1">
      <alignment horizontal="center" vertical="center"/>
    </xf>
    <xf numFmtId="4" fontId="6" fillId="8" borderId="16" xfId="4" applyNumberFormat="1" applyFont="1" applyFill="1" applyBorder="1" applyAlignment="1" applyProtection="1">
      <alignment horizontal="center" vertical="top"/>
    </xf>
    <xf numFmtId="4" fontId="10" fillId="8" borderId="15" xfId="2" applyNumberFormat="1" applyFont="1" applyFill="1" applyBorder="1" applyAlignment="1" applyProtection="1">
      <alignment horizontal="center" vertical="center"/>
    </xf>
    <xf numFmtId="4" fontId="5" fillId="8" borderId="18" xfId="2" applyNumberFormat="1" applyFont="1" applyFill="1" applyBorder="1" applyAlignment="1" applyProtection="1">
      <alignment horizontal="center" vertical="center"/>
      <protection locked="0"/>
    </xf>
    <xf numFmtId="4" fontId="6" fillId="8" borderId="14" xfId="4" applyNumberFormat="1" applyFont="1" applyFill="1" applyBorder="1" applyAlignment="1" applyProtection="1">
      <alignment horizontal="center" vertical="top"/>
    </xf>
    <xf numFmtId="4" fontId="6" fillId="8" borderId="15" xfId="4" applyNumberFormat="1" applyFont="1" applyFill="1" applyBorder="1" applyAlignment="1" applyProtection="1">
      <alignment horizontal="center" vertical="top"/>
    </xf>
    <xf numFmtId="4" fontId="10" fillId="8" borderId="19" xfId="2" applyNumberFormat="1" applyFont="1" applyFill="1" applyBorder="1" applyAlignment="1" applyProtection="1">
      <alignment horizontal="center" vertical="center"/>
    </xf>
    <xf numFmtId="4" fontId="5" fillId="8" borderId="14" xfId="2" applyNumberFormat="1" applyFont="1" applyFill="1" applyBorder="1" applyAlignment="1" applyProtection="1">
      <alignment horizontal="center" vertical="center"/>
    </xf>
    <xf numFmtId="4" fontId="41" fillId="8" borderId="14" xfId="0" applyNumberFormat="1" applyFont="1" applyFill="1" applyBorder="1" applyAlignment="1" applyProtection="1">
      <alignment horizontal="right" vertical="center"/>
    </xf>
    <xf numFmtId="4" fontId="5" fillId="8" borderId="15" xfId="4" applyNumberFormat="1" applyFont="1" applyFill="1" applyBorder="1" applyAlignment="1" applyProtection="1">
      <alignment horizontal="center" vertical="center"/>
    </xf>
    <xf numFmtId="4" fontId="5" fillId="8" borderId="16" xfId="4" applyNumberFormat="1" applyFont="1" applyFill="1" applyBorder="1" applyAlignment="1" applyProtection="1">
      <alignment horizontal="center" vertical="top"/>
    </xf>
    <xf numFmtId="0" fontId="6" fillId="8" borderId="14" xfId="4" applyFont="1" applyFill="1" applyBorder="1" applyAlignment="1" applyProtection="1">
      <alignment vertical="top"/>
    </xf>
    <xf numFmtId="4" fontId="5" fillId="8" borderId="14" xfId="4" applyNumberFormat="1" applyFont="1" applyFill="1" applyBorder="1" applyAlignment="1" applyProtection="1">
      <alignment horizontal="center" vertical="top"/>
    </xf>
    <xf numFmtId="4" fontId="13" fillId="8" borderId="15" xfId="4" applyNumberFormat="1" applyFont="1" applyFill="1" applyBorder="1" applyAlignment="1" applyProtection="1">
      <alignment horizontal="center" vertical="center"/>
    </xf>
    <xf numFmtId="4" fontId="13" fillId="8" borderId="16" xfId="4" applyNumberFormat="1" applyFont="1" applyFill="1" applyBorder="1" applyAlignment="1" applyProtection="1">
      <alignment horizontal="center" vertical="center"/>
    </xf>
    <xf numFmtId="4" fontId="10" fillId="8" borderId="15" xfId="4" applyNumberFormat="1" applyFont="1" applyFill="1" applyBorder="1" applyAlignment="1" applyProtection="1">
      <alignment horizontal="center" vertical="center"/>
    </xf>
    <xf numFmtId="4" fontId="10" fillId="8" borderId="19" xfId="4" applyNumberFormat="1" applyFont="1" applyFill="1" applyBorder="1" applyAlignment="1" applyProtection="1">
      <alignment horizontal="center" vertical="center"/>
    </xf>
    <xf numFmtId="4" fontId="20" fillId="8" borderId="14" xfId="4" applyNumberFormat="1" applyFont="1" applyFill="1" applyBorder="1" applyAlignment="1" applyProtection="1">
      <alignment horizontal="center" vertical="center"/>
    </xf>
    <xf numFmtId="4" fontId="20" fillId="8" borderId="15" xfId="4" applyNumberFormat="1" applyFont="1" applyFill="1" applyBorder="1" applyAlignment="1" applyProtection="1">
      <alignment horizontal="center" vertical="center"/>
    </xf>
    <xf numFmtId="0" fontId="6" fillId="8" borderId="14" xfId="4" applyFont="1" applyFill="1" applyBorder="1" applyAlignment="1" applyProtection="1">
      <alignment horizontal="center" vertical="top"/>
    </xf>
    <xf numFmtId="3" fontId="5" fillId="8" borderId="14" xfId="2" applyNumberFormat="1" applyFont="1" applyFill="1" applyBorder="1" applyAlignment="1" applyProtection="1">
      <alignment horizontal="center" vertical="center"/>
    </xf>
    <xf numFmtId="3" fontId="6" fillId="8" borderId="15" xfId="2" applyNumberFormat="1" applyFont="1" applyFill="1" applyBorder="1" applyAlignment="1" applyProtection="1">
      <alignment horizontal="center" vertical="center"/>
    </xf>
    <xf numFmtId="3" fontId="6" fillId="8" borderId="16" xfId="2" applyNumberFormat="1" applyFont="1" applyFill="1" applyBorder="1" applyAlignment="1" applyProtection="1">
      <alignment horizontal="center" vertical="center"/>
    </xf>
    <xf numFmtId="3" fontId="6" fillId="8" borderId="19" xfId="2" applyNumberFormat="1" applyFont="1" applyFill="1" applyBorder="1" applyAlignment="1" applyProtection="1">
      <alignment horizontal="center" vertical="center"/>
    </xf>
    <xf numFmtId="174" fontId="35" fillId="8" borderId="14" xfId="3" applyNumberFormat="1" applyFont="1" applyFill="1" applyBorder="1" applyAlignment="1" applyProtection="1">
      <alignment horizontal="right" vertical="center"/>
    </xf>
    <xf numFmtId="3" fontId="6" fillId="8" borderId="15" xfId="4" applyNumberFormat="1" applyFont="1" applyFill="1" applyBorder="1" applyAlignment="1" applyProtection="1">
      <alignment horizontal="center" vertical="center"/>
    </xf>
    <xf numFmtId="3" fontId="6" fillId="8" borderId="16" xfId="4" applyNumberFormat="1" applyFont="1" applyFill="1" applyBorder="1" applyAlignment="1" applyProtection="1">
      <alignment horizontal="center" vertical="center"/>
    </xf>
    <xf numFmtId="0" fontId="6" fillId="8" borderId="36" xfId="4" applyFont="1" applyFill="1" applyBorder="1" applyAlignment="1" applyProtection="1">
      <alignment horizontal="center" vertical="top"/>
    </xf>
    <xf numFmtId="3" fontId="6" fillId="8" borderId="14" xfId="2" applyNumberFormat="1" applyFont="1" applyFill="1" applyBorder="1" applyAlignment="1" applyProtection="1">
      <alignment horizontal="center" vertical="center"/>
    </xf>
    <xf numFmtId="3" fontId="6" fillId="8" borderId="37" xfId="2" applyNumberFormat="1" applyFont="1" applyFill="1" applyBorder="1" applyAlignment="1" applyProtection="1">
      <alignment horizontal="center" vertical="center"/>
    </xf>
    <xf numFmtId="3" fontId="6" fillId="8" borderId="38" xfId="2" applyNumberFormat="1" applyFont="1" applyFill="1" applyBorder="1" applyAlignment="1" applyProtection="1">
      <alignment horizontal="center" vertical="center"/>
    </xf>
    <xf numFmtId="3" fontId="6" fillId="8" borderId="39" xfId="2" applyNumberFormat="1" applyFont="1" applyFill="1" applyBorder="1" applyAlignment="1" applyProtection="1">
      <alignment horizontal="center" vertical="center"/>
    </xf>
    <xf numFmtId="4" fontId="6" fillId="8" borderId="14" xfId="2" applyNumberFormat="1" applyFont="1" applyFill="1" applyBorder="1" applyAlignment="1" applyProtection="1">
      <alignment horizontal="center" vertical="center"/>
    </xf>
    <xf numFmtId="0" fontId="6" fillId="8" borderId="20" xfId="4" applyFont="1" applyFill="1" applyBorder="1" applyAlignment="1" applyProtection="1">
      <alignment horizontal="center" vertical="top"/>
    </xf>
    <xf numFmtId="4" fontId="5" fillId="8" borderId="20" xfId="2" applyNumberFormat="1" applyFont="1" applyFill="1" applyBorder="1" applyAlignment="1" applyProtection="1">
      <alignment horizontal="center" vertical="center"/>
    </xf>
    <xf numFmtId="3" fontId="6" fillId="8" borderId="21" xfId="2" applyNumberFormat="1" applyFont="1" applyFill="1" applyBorder="1" applyAlignment="1" applyProtection="1">
      <alignment horizontal="center" vertical="center"/>
    </xf>
    <xf numFmtId="3" fontId="6" fillId="8" borderId="22" xfId="2" applyNumberFormat="1" applyFont="1" applyFill="1" applyBorder="1" applyAlignment="1" applyProtection="1">
      <alignment horizontal="center" vertical="center"/>
    </xf>
    <xf numFmtId="164" fontId="5" fillId="8" borderId="20" xfId="2" applyNumberFormat="1" applyFont="1" applyFill="1" applyBorder="1" applyAlignment="1" applyProtection="1">
      <alignment horizontal="center" vertical="center"/>
    </xf>
    <xf numFmtId="3" fontId="6" fillId="8" borderId="23" xfId="2" applyNumberFormat="1" applyFont="1" applyFill="1" applyBorder="1" applyAlignment="1" applyProtection="1">
      <alignment horizontal="center" vertical="center"/>
    </xf>
    <xf numFmtId="174" fontId="55" fillId="8" borderId="20" xfId="3" applyNumberFormat="1" applyFont="1" applyFill="1" applyBorder="1" applyAlignment="1" applyProtection="1">
      <alignment horizontal="right" vertical="center"/>
    </xf>
    <xf numFmtId="3" fontId="6" fillId="8" borderId="21" xfId="4" applyNumberFormat="1" applyFont="1" applyFill="1" applyBorder="1" applyAlignment="1" applyProtection="1">
      <alignment horizontal="center" vertical="center"/>
    </xf>
    <xf numFmtId="3" fontId="6" fillId="8" borderId="22" xfId="4" applyNumberFormat="1" applyFont="1" applyFill="1" applyBorder="1" applyAlignment="1" applyProtection="1">
      <alignment horizontal="center" vertical="center"/>
    </xf>
    <xf numFmtId="0" fontId="0" fillId="8" borderId="0" xfId="0" applyFill="1"/>
    <xf numFmtId="0" fontId="40" fillId="8" borderId="0" xfId="0" applyFont="1" applyFill="1"/>
    <xf numFmtId="0" fontId="21" fillId="8" borderId="27" xfId="0" applyFont="1" applyFill="1" applyBorder="1" applyAlignment="1">
      <alignment horizontal="left" vertical="top"/>
    </xf>
    <xf numFmtId="0" fontId="21" fillId="8" borderId="27" xfId="0" applyFont="1" applyFill="1" applyBorder="1" applyAlignment="1">
      <alignment horizontal="left" vertical="top" wrapText="1"/>
    </xf>
    <xf numFmtId="0" fontId="32" fillId="8" borderId="27" xfId="0" applyFont="1" applyFill="1" applyBorder="1" applyAlignment="1">
      <alignment horizontal="right" vertical="center"/>
    </xf>
    <xf numFmtId="171" fontId="33" fillId="8" borderId="27" xfId="0" applyNumberFormat="1" applyFont="1" applyFill="1" applyBorder="1" applyAlignment="1">
      <alignment horizontal="left" vertical="top" wrapText="1"/>
    </xf>
    <xf numFmtId="0" fontId="34" fillId="8" borderId="27" xfId="0" applyFont="1" applyFill="1" applyBorder="1" applyAlignment="1">
      <alignment horizontal="right" vertical="center"/>
    </xf>
    <xf numFmtId="171" fontId="21" fillId="8" borderId="27" xfId="0" applyNumberFormat="1" applyFont="1" applyFill="1" applyBorder="1" applyAlignment="1">
      <alignment horizontal="left" vertical="top" wrapText="1"/>
    </xf>
    <xf numFmtId="0" fontId="5" fillId="8" borderId="10" xfId="0" applyFont="1" applyFill="1" applyBorder="1" applyAlignment="1" applyProtection="1">
      <alignment horizontal="center" vertical="center"/>
    </xf>
    <xf numFmtId="0" fontId="5" fillId="8" borderId="11" xfId="0" applyFont="1" applyFill="1" applyBorder="1" applyAlignment="1" applyProtection="1">
      <alignment horizontal="center" vertical="center"/>
    </xf>
    <xf numFmtId="0" fontId="5" fillId="8" borderId="11" xfId="0" applyFont="1" applyFill="1" applyBorder="1" applyAlignment="1" applyProtection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</xf>
    <xf numFmtId="0" fontId="5" fillId="8" borderId="6" xfId="0" applyFont="1" applyFill="1" applyBorder="1" applyAlignment="1" applyProtection="1">
      <alignment horizontal="center" vertical="center" wrapText="1"/>
    </xf>
    <xf numFmtId="49" fontId="6" fillId="8" borderId="14" xfId="0" applyNumberFormat="1" applyFont="1" applyFill="1" applyBorder="1" applyAlignment="1" applyProtection="1">
      <alignment horizontal="center" vertical="center"/>
    </xf>
    <xf numFmtId="2" fontId="6" fillId="8" borderId="15" xfId="0" applyNumberFormat="1" applyFont="1" applyFill="1" applyBorder="1" applyAlignment="1" applyProtection="1">
      <alignment vertical="center" wrapText="1"/>
    </xf>
    <xf numFmtId="2" fontId="6" fillId="8" borderId="16" xfId="0" applyNumberFormat="1" applyFont="1" applyFill="1" applyBorder="1" applyAlignment="1" applyProtection="1">
      <alignment horizontal="center" vertical="center" wrapText="1"/>
    </xf>
    <xf numFmtId="4" fontId="5" fillId="8" borderId="7" xfId="0" applyNumberFormat="1" applyFont="1" applyFill="1" applyBorder="1" applyAlignment="1" applyProtection="1">
      <alignment horizontal="right" vertical="center"/>
    </xf>
    <xf numFmtId="164" fontId="7" fillId="8" borderId="8" xfId="0" applyNumberFormat="1" applyFont="1" applyFill="1" applyBorder="1" applyAlignment="1" applyProtection="1">
      <alignment horizontal="right" vertical="center"/>
    </xf>
    <xf numFmtId="166" fontId="5" fillId="8" borderId="14" xfId="0" applyNumberFormat="1" applyFont="1" applyFill="1" applyBorder="1" applyAlignment="1" applyProtection="1">
      <alignment horizontal="right" vertical="center"/>
    </xf>
    <xf numFmtId="4" fontId="47" fillId="8" borderId="44" xfId="0" applyNumberFormat="1" applyFont="1" applyFill="1" applyBorder="1" applyAlignment="1">
      <alignment vertical="center"/>
    </xf>
    <xf numFmtId="4" fontId="6" fillId="8" borderId="32" xfId="0" applyNumberFormat="1" applyFont="1" applyFill="1" applyBorder="1" applyAlignment="1" applyProtection="1">
      <alignment horizontal="right" vertical="center"/>
    </xf>
    <xf numFmtId="2" fontId="40" fillId="8" borderId="0" xfId="0" applyNumberFormat="1" applyFont="1" applyFill="1"/>
    <xf numFmtId="49" fontId="53" fillId="8" borderId="14" xfId="0" applyNumberFormat="1" applyFont="1" applyFill="1" applyBorder="1" applyAlignment="1" applyProtection="1">
      <alignment horizontal="center" vertical="center"/>
    </xf>
    <xf numFmtId="2" fontId="53" fillId="8" borderId="15" xfId="0" applyNumberFormat="1" applyFont="1" applyFill="1" applyBorder="1" applyAlignment="1" applyProtection="1">
      <alignment vertical="center" wrapText="1"/>
    </xf>
    <xf numFmtId="2" fontId="53" fillId="8" borderId="16" xfId="0" applyNumberFormat="1" applyFont="1" applyFill="1" applyBorder="1" applyAlignment="1" applyProtection="1">
      <alignment horizontal="center" vertical="center" wrapText="1"/>
    </xf>
    <xf numFmtId="4" fontId="47" fillId="8" borderId="14" xfId="0" applyNumberFormat="1" applyFont="1" applyFill="1" applyBorder="1" applyAlignment="1" applyProtection="1">
      <alignment horizontal="right" vertical="center"/>
    </xf>
    <xf numFmtId="4" fontId="53" fillId="8" borderId="15" xfId="0" applyNumberFormat="1" applyFont="1" applyFill="1" applyBorder="1" applyAlignment="1" applyProtection="1">
      <alignment horizontal="right" vertical="center"/>
    </xf>
    <xf numFmtId="166" fontId="47" fillId="8" borderId="14" xfId="0" applyNumberFormat="1" applyFont="1" applyFill="1" applyBorder="1" applyAlignment="1" applyProtection="1">
      <alignment horizontal="right" vertical="center"/>
    </xf>
    <xf numFmtId="4" fontId="47" fillId="8" borderId="42" xfId="0" applyNumberFormat="1" applyFont="1" applyFill="1" applyBorder="1" applyAlignment="1">
      <alignment vertical="center"/>
    </xf>
    <xf numFmtId="4" fontId="6" fillId="8" borderId="15" xfId="0" applyNumberFormat="1" applyFont="1" applyFill="1" applyBorder="1" applyAlignment="1" applyProtection="1">
      <alignment horizontal="right" vertical="center"/>
    </xf>
    <xf numFmtId="49" fontId="47" fillId="21" borderId="14" xfId="0" applyNumberFormat="1" applyFont="1" applyFill="1" applyBorder="1" applyAlignment="1" applyProtection="1">
      <alignment horizontal="center" vertical="center"/>
    </xf>
    <xf numFmtId="0" fontId="47" fillId="21" borderId="15" xfId="0" applyFont="1" applyFill="1" applyBorder="1" applyAlignment="1" applyProtection="1">
      <alignment horizontal="center" vertical="center" wrapText="1"/>
    </xf>
    <xf numFmtId="0" fontId="53" fillId="21" borderId="16" xfId="0" applyFont="1" applyFill="1" applyBorder="1" applyAlignment="1" applyProtection="1">
      <alignment horizontal="center" vertical="center" wrapText="1"/>
    </xf>
    <xf numFmtId="0" fontId="53" fillId="8" borderId="14" xfId="0" applyFont="1" applyFill="1" applyBorder="1" applyAlignment="1" applyProtection="1">
      <alignment vertical="top"/>
    </xf>
    <xf numFmtId="0" fontId="53" fillId="8" borderId="15" xfId="0" applyFont="1" applyFill="1" applyBorder="1" applyAlignment="1" applyProtection="1">
      <alignment vertical="top"/>
    </xf>
    <xf numFmtId="0" fontId="53" fillId="8" borderId="18" xfId="0" applyFont="1" applyFill="1" applyBorder="1" applyAlignment="1" applyProtection="1">
      <alignment vertical="top"/>
    </xf>
    <xf numFmtId="0" fontId="53" fillId="8" borderId="19" xfId="0" applyFont="1" applyFill="1" applyBorder="1" applyAlignment="1" applyProtection="1">
      <alignment vertical="top"/>
    </xf>
    <xf numFmtId="0" fontId="6" fillId="8" borderId="15" xfId="0" applyFont="1" applyFill="1" applyBorder="1" applyAlignment="1" applyProtection="1">
      <alignment vertical="top"/>
    </xf>
    <xf numFmtId="0" fontId="6" fillId="8" borderId="16" xfId="0" applyFont="1" applyFill="1" applyBorder="1" applyAlignment="1" applyProtection="1">
      <alignment vertical="top"/>
    </xf>
    <xf numFmtId="49" fontId="47" fillId="8" borderId="14" xfId="0" applyNumberFormat="1" applyFont="1" applyFill="1" applyBorder="1" applyAlignment="1" applyProtection="1">
      <alignment horizontal="center" vertical="center"/>
    </xf>
    <xf numFmtId="2" fontId="47" fillId="8" borderId="15" xfId="0" applyNumberFormat="1" applyFont="1" applyFill="1" applyBorder="1" applyAlignment="1" applyProtection="1">
      <alignment vertical="center" wrapText="1"/>
    </xf>
    <xf numFmtId="4" fontId="47" fillId="8" borderId="15" xfId="0" applyNumberFormat="1" applyFont="1" applyFill="1" applyBorder="1" applyAlignment="1" applyProtection="1">
      <alignment horizontal="right" vertical="center"/>
      <protection locked="0"/>
    </xf>
    <xf numFmtId="4" fontId="47" fillId="8" borderId="19" xfId="0" applyNumberFormat="1" applyFont="1" applyFill="1" applyBorder="1" applyAlignment="1" applyProtection="1">
      <alignment horizontal="right" vertical="center"/>
      <protection locked="0"/>
    </xf>
    <xf numFmtId="4" fontId="47" fillId="8" borderId="18" xfId="0" applyNumberFormat="1" applyFont="1" applyFill="1" applyBorder="1" applyAlignment="1" applyProtection="1">
      <alignment horizontal="right" vertical="center"/>
      <protection locked="0"/>
    </xf>
    <xf numFmtId="2" fontId="6" fillId="8" borderId="15" xfId="0" applyNumberFormat="1" applyFont="1" applyFill="1" applyBorder="1" applyAlignment="1" applyProtection="1">
      <alignment vertical="top"/>
    </xf>
    <xf numFmtId="4" fontId="56" fillId="8" borderId="15" xfId="0" applyNumberFormat="1" applyFont="1" applyFill="1" applyBorder="1" applyAlignment="1" applyProtection="1">
      <alignment horizontal="right" vertical="center"/>
    </xf>
    <xf numFmtId="4" fontId="56" fillId="8" borderId="19" xfId="0" applyNumberFormat="1" applyFont="1" applyFill="1" applyBorder="1" applyAlignment="1" applyProtection="1">
      <alignment horizontal="right" vertical="center"/>
    </xf>
    <xf numFmtId="0" fontId="31" fillId="8" borderId="26" xfId="0" applyFont="1" applyFill="1" applyBorder="1" applyAlignment="1">
      <alignment vertical="top"/>
    </xf>
    <xf numFmtId="4" fontId="57" fillId="8" borderId="14" xfId="0" applyNumberFormat="1" applyFont="1" applyFill="1" applyBorder="1" applyAlignment="1" applyProtection="1">
      <alignment horizontal="right" vertical="center"/>
    </xf>
    <xf numFmtId="4" fontId="19" fillId="8" borderId="15" xfId="0" applyNumberFormat="1" applyFont="1" applyFill="1" applyBorder="1" applyAlignment="1" applyProtection="1">
      <alignment horizontal="right" vertical="center"/>
    </xf>
    <xf numFmtId="2" fontId="56" fillId="8" borderId="15" xfId="0" applyNumberFormat="1" applyFont="1" applyFill="1" applyBorder="1" applyAlignment="1" applyProtection="1">
      <alignment horizontal="right" vertical="center" wrapText="1"/>
    </xf>
    <xf numFmtId="0" fontId="53" fillId="8" borderId="16" xfId="0" applyFont="1" applyFill="1" applyBorder="1" applyAlignment="1" applyProtection="1">
      <alignment vertical="top"/>
    </xf>
    <xf numFmtId="164" fontId="43" fillId="8" borderId="14" xfId="0" applyNumberFormat="1" applyFont="1" applyFill="1" applyBorder="1" applyAlignment="1" applyProtection="1">
      <alignment horizontal="right" vertical="center"/>
    </xf>
    <xf numFmtId="4" fontId="23" fillId="8" borderId="14" xfId="0" applyNumberFormat="1" applyFont="1" applyFill="1" applyBorder="1" applyAlignment="1" applyProtection="1">
      <alignment horizontal="right" vertical="center"/>
    </xf>
    <xf numFmtId="4" fontId="23" fillId="8" borderId="15" xfId="0" applyNumberFormat="1" applyFont="1" applyFill="1" applyBorder="1" applyAlignment="1" applyProtection="1">
      <alignment horizontal="right" vertical="center"/>
    </xf>
    <xf numFmtId="0" fontId="53" fillId="8" borderId="14" xfId="0" applyFont="1" applyFill="1" applyBorder="1" applyAlignment="1" applyProtection="1">
      <alignment horizontal="center" vertical="top"/>
    </xf>
    <xf numFmtId="3" fontId="53" fillId="8" borderId="15" xfId="0" applyNumberFormat="1" applyFont="1" applyFill="1" applyBorder="1" applyAlignment="1" applyProtection="1">
      <alignment horizontal="right" vertical="center"/>
    </xf>
    <xf numFmtId="3" fontId="53" fillId="8" borderId="19" xfId="0" applyNumberFormat="1" applyFont="1" applyFill="1" applyBorder="1" applyAlignment="1" applyProtection="1">
      <alignment horizontal="right" vertical="center"/>
    </xf>
    <xf numFmtId="167" fontId="47" fillId="8" borderId="14" xfId="0" applyNumberFormat="1" applyFont="1" applyFill="1" applyBorder="1" applyAlignment="1" applyProtection="1">
      <alignment horizontal="right" vertical="center"/>
    </xf>
    <xf numFmtId="4" fontId="53" fillId="8" borderId="19" xfId="0" applyNumberFormat="1" applyFont="1" applyFill="1" applyBorder="1" applyAlignment="1" applyProtection="1">
      <alignment horizontal="right" vertical="center"/>
    </xf>
    <xf numFmtId="173" fontId="5" fillId="8" borderId="14" xfId="3" applyFont="1" applyFill="1" applyBorder="1" applyAlignment="1" applyProtection="1">
      <alignment horizontal="right" vertical="center"/>
    </xf>
    <xf numFmtId="0" fontId="53" fillId="8" borderId="36" xfId="0" applyFont="1" applyFill="1" applyBorder="1" applyAlignment="1" applyProtection="1">
      <alignment horizontal="center" vertical="top"/>
    </xf>
    <xf numFmtId="2" fontId="53" fillId="8" borderId="37" xfId="0" applyNumberFormat="1" applyFont="1" applyFill="1" applyBorder="1" applyAlignment="1" applyProtection="1">
      <alignment horizontal="right" vertical="center" wrapText="1"/>
    </xf>
    <xf numFmtId="2" fontId="53" fillId="8" borderId="38" xfId="0" applyNumberFormat="1" applyFont="1" applyFill="1" applyBorder="1" applyAlignment="1" applyProtection="1">
      <alignment horizontal="center" vertical="center" wrapText="1"/>
    </xf>
    <xf numFmtId="4" fontId="53" fillId="8" borderId="14" xfId="0" applyNumberFormat="1" applyFont="1" applyFill="1" applyBorder="1" applyAlignment="1" applyProtection="1">
      <alignment horizontal="right" vertical="center"/>
    </xf>
    <xf numFmtId="3" fontId="4" fillId="8" borderId="37" xfId="2" applyNumberFormat="1" applyFont="1" applyFill="1" applyBorder="1" applyAlignment="1" applyProtection="1">
      <alignment horizontal="right" vertical="center"/>
    </xf>
    <xf numFmtId="3" fontId="6" fillId="8" borderId="16" xfId="0" applyNumberFormat="1" applyFont="1" applyFill="1" applyBorder="1" applyAlignment="1" applyProtection="1">
      <alignment horizontal="right" vertical="center"/>
    </xf>
    <xf numFmtId="0" fontId="53" fillId="8" borderId="20" xfId="0" applyFont="1" applyFill="1" applyBorder="1" applyAlignment="1" applyProtection="1">
      <alignment horizontal="center" vertical="top"/>
    </xf>
    <xf numFmtId="2" fontId="47" fillId="8" borderId="21" xfId="0" applyNumberFormat="1" applyFont="1" applyFill="1" applyBorder="1" applyAlignment="1" applyProtection="1">
      <alignment vertical="center" wrapText="1"/>
    </xf>
    <xf numFmtId="2" fontId="53" fillId="8" borderId="22" xfId="0" applyNumberFormat="1" applyFont="1" applyFill="1" applyBorder="1" applyAlignment="1" applyProtection="1">
      <alignment horizontal="center" vertical="center" wrapText="1"/>
    </xf>
    <xf numFmtId="3" fontId="53" fillId="8" borderId="21" xfId="0" applyNumberFormat="1" applyFont="1" applyFill="1" applyBorder="1" applyAlignment="1" applyProtection="1">
      <alignment horizontal="right" vertical="center"/>
    </xf>
    <xf numFmtId="3" fontId="53" fillId="8" borderId="23" xfId="0" applyNumberFormat="1" applyFont="1" applyFill="1" applyBorder="1" applyAlignment="1" applyProtection="1">
      <alignment horizontal="right" vertical="center"/>
    </xf>
    <xf numFmtId="167" fontId="47" fillId="8" borderId="20" xfId="0" applyNumberFormat="1" applyFont="1" applyFill="1" applyBorder="1" applyAlignment="1" applyProtection="1">
      <alignment horizontal="right" vertical="center"/>
    </xf>
    <xf numFmtId="4" fontId="53" fillId="8" borderId="21" xfId="0" applyNumberFormat="1" applyFont="1" applyFill="1" applyBorder="1" applyAlignment="1" applyProtection="1">
      <alignment horizontal="right" vertical="center"/>
    </xf>
    <xf numFmtId="4" fontId="53" fillId="8" borderId="23" xfId="0" applyNumberFormat="1" applyFont="1" applyFill="1" applyBorder="1" applyAlignment="1" applyProtection="1">
      <alignment horizontal="right" vertical="center"/>
    </xf>
    <xf numFmtId="173" fontId="55" fillId="8" borderId="20" xfId="3" applyFont="1" applyFill="1" applyBorder="1" applyAlignment="1" applyProtection="1">
      <alignment horizontal="right" vertical="center"/>
    </xf>
    <xf numFmtId="4" fontId="6" fillId="8" borderId="21" xfId="0" applyNumberFormat="1" applyFont="1" applyFill="1" applyBorder="1" applyAlignment="1" applyProtection="1">
      <alignment horizontal="right" vertical="center"/>
    </xf>
    <xf numFmtId="0" fontId="12" fillId="8" borderId="0" xfId="0" applyFont="1" applyFill="1" applyAlignment="1" applyProtection="1">
      <alignment vertical="top"/>
    </xf>
    <xf numFmtId="0" fontId="13" fillId="8" borderId="0" xfId="0" applyFont="1" applyFill="1" applyAlignment="1" applyProtection="1">
      <alignment horizontal="right" vertical="top"/>
    </xf>
    <xf numFmtId="4" fontId="15" fillId="8" borderId="0" xfId="0" applyNumberFormat="1" applyFont="1" applyFill="1" applyAlignment="1" applyProtection="1">
      <alignment vertical="top"/>
    </xf>
    <xf numFmtId="0" fontId="17" fillId="8" borderId="0" xfId="0" applyFont="1" applyFill="1"/>
    <xf numFmtId="171" fontId="17" fillId="8" borderId="0" xfId="0" applyNumberFormat="1" applyFont="1" applyFill="1"/>
    <xf numFmtId="0" fontId="17" fillId="0" borderId="0" xfId="0" applyFont="1"/>
    <xf numFmtId="14" fontId="21" fillId="8" borderId="27" xfId="0" applyNumberFormat="1" applyFont="1" applyFill="1" applyBorder="1" applyAlignment="1">
      <alignment vertical="top" wrapText="1"/>
    </xf>
    <xf numFmtId="0" fontId="47" fillId="8" borderId="27" xfId="0" applyFont="1" applyFill="1" applyBorder="1" applyAlignment="1">
      <alignment horizontal="right" vertical="center"/>
    </xf>
    <xf numFmtId="0" fontId="47" fillId="8" borderId="27" xfId="0" applyFont="1" applyFill="1" applyBorder="1" applyAlignment="1">
      <alignment horizontal="right" vertical="center" wrapText="1"/>
    </xf>
    <xf numFmtId="0" fontId="17" fillId="0" borderId="0" xfId="0" applyFont="1" applyFill="1"/>
    <xf numFmtId="0" fontId="0" fillId="0" borderId="0" xfId="0" applyFill="1"/>
    <xf numFmtId="2" fontId="58" fillId="8" borderId="0" xfId="0" applyNumberFormat="1" applyFont="1" applyFill="1"/>
    <xf numFmtId="0" fontId="59" fillId="8" borderId="0" xfId="0" applyFont="1" applyFill="1"/>
    <xf numFmtId="0" fontId="40" fillId="8" borderId="15" xfId="0" applyFont="1" applyFill="1" applyBorder="1"/>
    <xf numFmtId="0" fontId="60" fillId="8" borderId="15" xfId="0" applyFont="1" applyFill="1" applyBorder="1" applyAlignment="1">
      <alignment horizontal="center" vertical="center"/>
    </xf>
    <xf numFmtId="4" fontId="40" fillId="8" borderId="0" xfId="0" applyNumberFormat="1" applyFont="1" applyFill="1"/>
    <xf numFmtId="2" fontId="40" fillId="8" borderId="15" xfId="0" applyNumberFormat="1" applyFont="1" applyFill="1" applyBorder="1" applyAlignment="1">
      <alignment horizontal="center" vertical="center"/>
    </xf>
    <xf numFmtId="2" fontId="60" fillId="8" borderId="15" xfId="0" applyNumberFormat="1" applyFont="1" applyFill="1" applyBorder="1" applyAlignment="1">
      <alignment horizontal="center" vertical="center"/>
    </xf>
    <xf numFmtId="0" fontId="8" fillId="8" borderId="27" xfId="0" applyFont="1" applyFill="1" applyBorder="1" applyAlignment="1">
      <alignment horizontal="right" vertical="center"/>
    </xf>
    <xf numFmtId="0" fontId="8" fillId="8" borderId="27" xfId="0" applyFont="1" applyFill="1" applyBorder="1" applyAlignment="1">
      <alignment horizontal="right" vertical="center" wrapText="1"/>
    </xf>
    <xf numFmtId="4" fontId="47" fillId="8" borderId="28" xfId="0" applyNumberFormat="1" applyFont="1" applyFill="1" applyBorder="1" applyAlignment="1">
      <alignment vertical="center"/>
    </xf>
    <xf numFmtId="4" fontId="6" fillId="8" borderId="41" xfId="0" applyNumberFormat="1" applyFont="1" applyFill="1" applyBorder="1" applyAlignment="1" applyProtection="1">
      <alignment horizontal="right" vertical="center"/>
    </xf>
    <xf numFmtId="4" fontId="47" fillId="8" borderId="14" xfId="0" applyNumberFormat="1" applyFont="1" applyFill="1" applyBorder="1" applyAlignment="1">
      <alignment vertical="center"/>
    </xf>
    <xf numFmtId="4" fontId="6" fillId="8" borderId="16" xfId="0" applyNumberFormat="1" applyFont="1" applyFill="1" applyBorder="1" applyAlignment="1" applyProtection="1">
      <alignment horizontal="right" vertical="center"/>
    </xf>
    <xf numFmtId="2" fontId="6" fillId="8" borderId="14" xfId="0" applyNumberFormat="1" applyFont="1" applyFill="1" applyBorder="1" applyAlignment="1" applyProtection="1">
      <alignment vertical="top"/>
    </xf>
    <xf numFmtId="3" fontId="4" fillId="8" borderId="39" xfId="2" applyNumberFormat="1" applyFont="1" applyFill="1" applyBorder="1" applyAlignment="1" applyProtection="1">
      <alignment horizontal="right" vertical="center"/>
    </xf>
    <xf numFmtId="4" fontId="6" fillId="8" borderId="22" xfId="0" applyNumberFormat="1" applyFont="1" applyFill="1" applyBorder="1" applyAlignment="1" applyProtection="1">
      <alignment horizontal="right" vertical="center"/>
    </xf>
    <xf numFmtId="0" fontId="40" fillId="0" borderId="0" xfId="0" applyFont="1" applyFill="1"/>
    <xf numFmtId="171" fontId="17" fillId="0" borderId="0" xfId="0" applyNumberFormat="1" applyFont="1" applyFill="1"/>
    <xf numFmtId="0" fontId="40" fillId="0" borderId="15" xfId="0" applyFont="1" applyBorder="1"/>
    <xf numFmtId="0" fontId="60" fillId="0" borderId="15" xfId="0" applyFont="1" applyBorder="1" applyAlignment="1">
      <alignment horizontal="center" vertical="center"/>
    </xf>
    <xf numFmtId="2" fontId="40" fillId="0" borderId="15" xfId="0" applyNumberFormat="1" applyFont="1" applyBorder="1" applyAlignment="1">
      <alignment horizontal="center" vertical="center"/>
    </xf>
    <xf numFmtId="2" fontId="60" fillId="0" borderId="15" xfId="0" applyNumberFormat="1" applyFont="1" applyBorder="1" applyAlignment="1">
      <alignment horizontal="center" vertical="center"/>
    </xf>
    <xf numFmtId="2" fontId="40" fillId="22" borderId="15" xfId="0" applyNumberFormat="1" applyFont="1" applyFill="1" applyBorder="1" applyAlignment="1">
      <alignment horizontal="center" vertical="center"/>
    </xf>
    <xf numFmtId="0" fontId="61" fillId="19" borderId="15" xfId="0" applyFont="1" applyFill="1" applyBorder="1" applyAlignment="1">
      <alignment horizontal="right"/>
    </xf>
    <xf numFmtId="2" fontId="61" fillId="19" borderId="15" xfId="0" applyNumberFormat="1" applyFont="1" applyFill="1" applyBorder="1" applyAlignment="1">
      <alignment horizontal="right"/>
    </xf>
    <xf numFmtId="2" fontId="60" fillId="0" borderId="15" xfId="0" applyNumberFormat="1" applyFont="1" applyFill="1" applyBorder="1" applyAlignment="1">
      <alignment horizontal="center" vertical="center"/>
    </xf>
    <xf numFmtId="0" fontId="62" fillId="0" borderId="0" xfId="0" applyFont="1"/>
    <xf numFmtId="2" fontId="62" fillId="0" borderId="0" xfId="0" applyNumberFormat="1" applyFont="1"/>
    <xf numFmtId="49" fontId="36" fillId="8" borderId="14" xfId="0" applyNumberFormat="1" applyFont="1" applyFill="1" applyBorder="1" applyAlignment="1" applyProtection="1">
      <alignment horizontal="center" vertical="center"/>
    </xf>
    <xf numFmtId="2" fontId="36" fillId="8" borderId="16" xfId="0" applyNumberFormat="1" applyFont="1" applyFill="1" applyBorder="1" applyAlignment="1" applyProtection="1">
      <alignment horizontal="center" vertical="center" wrapText="1"/>
    </xf>
    <xf numFmtId="49" fontId="35" fillId="8" borderId="14" xfId="0" applyNumberFormat="1" applyFont="1" applyFill="1" applyBorder="1" applyAlignment="1" applyProtection="1">
      <alignment horizontal="center" vertical="center"/>
    </xf>
    <xf numFmtId="2" fontId="39" fillId="8" borderId="15" xfId="0" applyNumberFormat="1" applyFont="1" applyFill="1" applyBorder="1" applyAlignment="1" applyProtection="1">
      <alignment horizontal="right" vertical="center" wrapText="1"/>
    </xf>
    <xf numFmtId="0" fontId="45" fillId="8" borderId="26" xfId="0" applyFont="1" applyFill="1" applyBorder="1" applyAlignment="1">
      <alignment vertical="top"/>
    </xf>
    <xf numFmtId="0" fontId="36" fillId="8" borderId="14" xfId="0" applyFont="1" applyFill="1" applyBorder="1" applyAlignment="1" applyProtection="1">
      <alignment vertical="top"/>
    </xf>
    <xf numFmtId="0" fontId="36" fillId="8" borderId="16" xfId="0" applyFont="1" applyFill="1" applyBorder="1" applyAlignment="1" applyProtection="1">
      <alignment vertical="top"/>
    </xf>
    <xf numFmtId="0" fontId="36" fillId="8" borderId="14" xfId="0" applyFont="1" applyFill="1" applyBorder="1" applyAlignment="1" applyProtection="1">
      <alignment horizontal="center" vertical="top"/>
    </xf>
    <xf numFmtId="0" fontId="36" fillId="8" borderId="36" xfId="0" applyFont="1" applyFill="1" applyBorder="1" applyAlignment="1" applyProtection="1">
      <alignment horizontal="center" vertical="top"/>
    </xf>
    <xf numFmtId="2" fontId="36" fillId="8" borderId="38" xfId="0" applyNumberFormat="1" applyFont="1" applyFill="1" applyBorder="1" applyAlignment="1" applyProtection="1">
      <alignment horizontal="center" vertical="center" wrapText="1"/>
    </xf>
    <xf numFmtId="0" fontId="36" fillId="8" borderId="20" xfId="0" applyFont="1" applyFill="1" applyBorder="1" applyAlignment="1" applyProtection="1">
      <alignment horizontal="center" vertical="top"/>
    </xf>
    <xf numFmtId="2" fontId="36" fillId="8" borderId="22" xfId="0" applyNumberFormat="1" applyFont="1" applyFill="1" applyBorder="1" applyAlignment="1" applyProtection="1">
      <alignment horizontal="center" vertical="center" wrapText="1"/>
    </xf>
    <xf numFmtId="2" fontId="63" fillId="8" borderId="37" xfId="0" applyNumberFormat="1" applyFont="1" applyFill="1" applyBorder="1" applyAlignment="1" applyProtection="1">
      <alignment horizontal="right" vertical="center" wrapText="1"/>
    </xf>
    <xf numFmtId="2" fontId="55" fillId="9" borderId="21" xfId="0" applyNumberFormat="1" applyFont="1" applyFill="1" applyBorder="1" applyAlignment="1" applyProtection="1">
      <alignment vertical="center" wrapText="1"/>
    </xf>
    <xf numFmtId="2" fontId="2" fillId="9" borderId="15" xfId="0" applyNumberFormat="1" applyFont="1" applyFill="1" applyBorder="1" applyAlignment="1" applyProtection="1">
      <alignment vertical="center" wrapText="1"/>
    </xf>
    <xf numFmtId="4" fontId="55" fillId="8" borderId="14" xfId="4" applyNumberFormat="1" applyFont="1" applyFill="1" applyBorder="1" applyAlignment="1" applyProtection="1">
      <alignment horizontal="center" vertical="center"/>
    </xf>
    <xf numFmtId="4" fontId="63" fillId="8" borderId="8" xfId="4" applyNumberFormat="1" applyFont="1" applyFill="1" applyBorder="1" applyAlignment="1" applyProtection="1">
      <alignment horizontal="center" vertical="center"/>
    </xf>
    <xf numFmtId="4" fontId="55" fillId="8" borderId="31" xfId="4" applyNumberFormat="1" applyFont="1" applyFill="1" applyBorder="1" applyAlignment="1">
      <alignment horizontal="center" vertical="center"/>
    </xf>
    <xf numFmtId="4" fontId="55" fillId="8" borderId="32" xfId="4" applyNumberFormat="1" applyFont="1" applyFill="1" applyBorder="1" applyAlignment="1">
      <alignment horizontal="center" vertical="center"/>
    </xf>
    <xf numFmtId="4" fontId="55" fillId="8" borderId="45" xfId="4" applyNumberFormat="1" applyFont="1" applyFill="1" applyBorder="1" applyAlignment="1" applyProtection="1">
      <alignment horizontal="center" vertical="center"/>
    </xf>
    <xf numFmtId="4" fontId="55" fillId="8" borderId="32" xfId="4" applyNumberFormat="1" applyFont="1" applyFill="1" applyBorder="1" applyAlignment="1" applyProtection="1">
      <alignment horizontal="center" vertical="center"/>
    </xf>
    <xf numFmtId="4" fontId="55" fillId="8" borderId="41" xfId="4" applyNumberFormat="1" applyFont="1" applyFill="1" applyBorder="1" applyAlignment="1" applyProtection="1">
      <alignment horizontal="center" vertical="center"/>
    </xf>
    <xf numFmtId="4" fontId="63" fillId="8" borderId="15" xfId="4" applyNumberFormat="1" applyFont="1" applyFill="1" applyBorder="1" applyAlignment="1" applyProtection="1">
      <alignment horizontal="center" vertical="center"/>
    </xf>
    <xf numFmtId="4" fontId="55" fillId="8" borderId="42" xfId="4" applyNumberFormat="1" applyFont="1" applyFill="1" applyBorder="1" applyAlignment="1">
      <alignment horizontal="center" vertical="center"/>
    </xf>
    <xf numFmtId="4" fontId="63" fillId="8" borderId="19" xfId="4" applyNumberFormat="1" applyFont="1" applyFill="1" applyBorder="1" applyAlignment="1" applyProtection="1">
      <alignment horizontal="center" vertical="center"/>
    </xf>
    <xf numFmtId="4" fontId="63" fillId="8" borderId="16" xfId="4" applyNumberFormat="1" applyFont="1" applyFill="1" applyBorder="1" applyAlignment="1" applyProtection="1">
      <alignment horizontal="center" vertical="center"/>
    </xf>
    <xf numFmtId="4" fontId="63" fillId="8" borderId="14" xfId="2" applyNumberFormat="1" applyFont="1" applyFill="1" applyBorder="1" applyAlignment="1" applyProtection="1">
      <alignment horizontal="center" vertical="top"/>
    </xf>
    <xf numFmtId="4" fontId="55" fillId="8" borderId="15" xfId="2" applyNumberFormat="1" applyFont="1" applyFill="1" applyBorder="1" applyAlignment="1" applyProtection="1">
      <alignment horizontal="center" vertical="center"/>
      <protection locked="0"/>
    </xf>
    <xf numFmtId="4" fontId="55" fillId="8" borderId="16" xfId="2" applyNumberFormat="1" applyFont="1" applyFill="1" applyBorder="1" applyAlignment="1" applyProtection="1">
      <alignment horizontal="center" vertical="center"/>
      <protection locked="0"/>
    </xf>
    <xf numFmtId="4" fontId="55" fillId="8" borderId="19" xfId="2" applyNumberFormat="1" applyFont="1" applyFill="1" applyBorder="1" applyAlignment="1" applyProtection="1">
      <alignment horizontal="center" vertical="center"/>
      <protection locked="0"/>
    </xf>
    <xf numFmtId="4" fontId="63" fillId="8" borderId="14" xfId="4" applyNumberFormat="1" applyFont="1" applyFill="1" applyBorder="1" applyAlignment="1" applyProtection="1">
      <alignment horizontal="center" vertical="center"/>
    </xf>
    <xf numFmtId="4" fontId="63" fillId="8" borderId="16" xfId="4" applyNumberFormat="1" applyFont="1" applyFill="1" applyBorder="1" applyAlignment="1" applyProtection="1">
      <alignment horizontal="center" vertical="top"/>
    </xf>
    <xf numFmtId="4" fontId="64" fillId="8" borderId="15" xfId="2" applyNumberFormat="1" applyFont="1" applyFill="1" applyBorder="1" applyAlignment="1" applyProtection="1">
      <alignment horizontal="center" vertical="center"/>
    </xf>
    <xf numFmtId="4" fontId="55" fillId="8" borderId="18" xfId="2" applyNumberFormat="1" applyFont="1" applyFill="1" applyBorder="1" applyAlignment="1" applyProtection="1">
      <alignment horizontal="center" vertical="center"/>
      <protection locked="0"/>
    </xf>
    <xf numFmtId="4" fontId="63" fillId="8" borderId="14" xfId="4" applyNumberFormat="1" applyFont="1" applyFill="1" applyBorder="1" applyAlignment="1" applyProtection="1">
      <alignment horizontal="center" vertical="top"/>
    </xf>
    <xf numFmtId="4" fontId="63" fillId="8" borderId="15" xfId="4" applyNumberFormat="1" applyFont="1" applyFill="1" applyBorder="1" applyAlignment="1" applyProtection="1">
      <alignment horizontal="center" vertical="top"/>
    </xf>
    <xf numFmtId="4" fontId="64" fillId="8" borderId="19" xfId="2" applyNumberFormat="1" applyFont="1" applyFill="1" applyBorder="1" applyAlignment="1" applyProtection="1">
      <alignment horizontal="center" vertical="center"/>
    </xf>
    <xf numFmtId="4" fontId="55" fillId="8" borderId="14" xfId="2" applyNumberFormat="1" applyFont="1" applyFill="1" applyBorder="1" applyAlignment="1" applyProtection="1">
      <alignment horizontal="center" vertical="center"/>
    </xf>
    <xf numFmtId="4" fontId="65" fillId="8" borderId="14" xfId="0" applyNumberFormat="1" applyFont="1" applyFill="1" applyBorder="1" applyAlignment="1" applyProtection="1">
      <alignment horizontal="right" vertical="center"/>
    </xf>
    <xf numFmtId="4" fontId="55" fillId="8" borderId="15" xfId="4" applyNumberFormat="1" applyFont="1" applyFill="1" applyBorder="1" applyAlignment="1" applyProtection="1">
      <alignment horizontal="center" vertical="center"/>
    </xf>
    <xf numFmtId="4" fontId="55" fillId="8" borderId="16" xfId="4" applyNumberFormat="1" applyFont="1" applyFill="1" applyBorder="1" applyAlignment="1" applyProtection="1">
      <alignment horizontal="center" vertical="top"/>
    </xf>
    <xf numFmtId="4" fontId="55" fillId="8" borderId="14" xfId="4" applyNumberFormat="1" applyFont="1" applyFill="1" applyBorder="1" applyAlignment="1" applyProtection="1">
      <alignment horizontal="center" vertical="top"/>
    </xf>
    <xf numFmtId="4" fontId="66" fillId="8" borderId="15" xfId="4" applyNumberFormat="1" applyFont="1" applyFill="1" applyBorder="1" applyAlignment="1" applyProtection="1">
      <alignment horizontal="center" vertical="center"/>
    </xf>
    <xf numFmtId="4" fontId="66" fillId="8" borderId="16" xfId="4" applyNumberFormat="1" applyFont="1" applyFill="1" applyBorder="1" applyAlignment="1" applyProtection="1">
      <alignment horizontal="center" vertical="center"/>
    </xf>
    <xf numFmtId="4" fontId="64" fillId="8" borderId="15" xfId="4" applyNumberFormat="1" applyFont="1" applyFill="1" applyBorder="1" applyAlignment="1" applyProtection="1">
      <alignment horizontal="center" vertical="center"/>
    </xf>
    <xf numFmtId="4" fontId="64" fillId="8" borderId="19" xfId="4" applyNumberFormat="1" applyFont="1" applyFill="1" applyBorder="1" applyAlignment="1" applyProtection="1">
      <alignment horizontal="center" vertical="center"/>
    </xf>
    <xf numFmtId="4" fontId="67" fillId="8" borderId="14" xfId="4" applyNumberFormat="1" applyFont="1" applyFill="1" applyBorder="1" applyAlignment="1" applyProtection="1">
      <alignment horizontal="center" vertical="center"/>
    </xf>
    <xf numFmtId="4" fontId="67" fillId="8" borderId="15" xfId="4" applyNumberFormat="1" applyFont="1" applyFill="1" applyBorder="1" applyAlignment="1" applyProtection="1">
      <alignment horizontal="center" vertical="center"/>
    </xf>
    <xf numFmtId="3" fontId="63" fillId="8" borderId="15" xfId="2" applyNumberFormat="1" applyFont="1" applyFill="1" applyBorder="1" applyAlignment="1" applyProtection="1">
      <alignment horizontal="center" vertical="center"/>
    </xf>
    <xf numFmtId="3" fontId="63" fillId="8" borderId="16" xfId="2" applyNumberFormat="1" applyFont="1" applyFill="1" applyBorder="1" applyAlignment="1" applyProtection="1">
      <alignment horizontal="center" vertical="center"/>
    </xf>
    <xf numFmtId="3" fontId="63" fillId="8" borderId="19" xfId="2" applyNumberFormat="1" applyFont="1" applyFill="1" applyBorder="1" applyAlignment="1" applyProtection="1">
      <alignment horizontal="center" vertical="center"/>
    </xf>
    <xf numFmtId="174" fontId="55" fillId="8" borderId="14" xfId="3" applyNumberFormat="1" applyFont="1" applyFill="1" applyBorder="1" applyAlignment="1" applyProtection="1">
      <alignment horizontal="right" vertical="center"/>
    </xf>
    <xf numFmtId="3" fontId="63" fillId="8" borderId="15" xfId="4" applyNumberFormat="1" applyFont="1" applyFill="1" applyBorder="1" applyAlignment="1" applyProtection="1">
      <alignment horizontal="center" vertical="center"/>
    </xf>
    <xf numFmtId="3" fontId="63" fillId="8" borderId="16" xfId="4" applyNumberFormat="1" applyFont="1" applyFill="1" applyBorder="1" applyAlignment="1" applyProtection="1">
      <alignment horizontal="center" vertical="center"/>
    </xf>
    <xf numFmtId="3" fontId="63" fillId="8" borderId="14" xfId="2" applyNumberFormat="1" applyFont="1" applyFill="1" applyBorder="1" applyAlignment="1" applyProtection="1">
      <alignment horizontal="center" vertical="center"/>
    </xf>
    <xf numFmtId="3" fontId="63" fillId="8" borderId="37" xfId="2" applyNumberFormat="1" applyFont="1" applyFill="1" applyBorder="1" applyAlignment="1" applyProtection="1">
      <alignment horizontal="center" vertical="center"/>
    </xf>
    <xf numFmtId="3" fontId="63" fillId="8" borderId="38" xfId="2" applyNumberFormat="1" applyFont="1" applyFill="1" applyBorder="1" applyAlignment="1" applyProtection="1">
      <alignment horizontal="center" vertical="center"/>
    </xf>
    <xf numFmtId="3" fontId="63" fillId="8" borderId="39" xfId="2" applyNumberFormat="1" applyFont="1" applyFill="1" applyBorder="1" applyAlignment="1" applyProtection="1">
      <alignment horizontal="center" vertical="center"/>
    </xf>
    <xf numFmtId="4" fontId="63" fillId="8" borderId="14" xfId="2" applyNumberFormat="1" applyFont="1" applyFill="1" applyBorder="1" applyAlignment="1" applyProtection="1">
      <alignment horizontal="center" vertical="center"/>
    </xf>
    <xf numFmtId="3" fontId="63" fillId="8" borderId="21" xfId="2" applyNumberFormat="1" applyFont="1" applyFill="1" applyBorder="1" applyAlignment="1" applyProtection="1">
      <alignment horizontal="center" vertical="center"/>
    </xf>
    <xf numFmtId="3" fontId="63" fillId="8" borderId="22" xfId="2" applyNumberFormat="1" applyFont="1" applyFill="1" applyBorder="1" applyAlignment="1" applyProtection="1">
      <alignment horizontal="center" vertical="center"/>
    </xf>
    <xf numFmtId="3" fontId="63" fillId="8" borderId="23" xfId="2" applyNumberFormat="1" applyFont="1" applyFill="1" applyBorder="1" applyAlignment="1" applyProtection="1">
      <alignment horizontal="center" vertical="center"/>
    </xf>
    <xf numFmtId="3" fontId="63" fillId="8" borderId="21" xfId="4" applyNumberFormat="1" applyFont="1" applyFill="1" applyBorder="1" applyAlignment="1" applyProtection="1">
      <alignment horizontal="center" vertical="center"/>
    </xf>
    <xf numFmtId="3" fontId="63" fillId="8" borderId="22" xfId="4" applyNumberFormat="1" applyFont="1" applyFill="1" applyBorder="1" applyAlignment="1" applyProtection="1">
      <alignment horizontal="center" vertical="center"/>
    </xf>
    <xf numFmtId="174" fontId="55" fillId="9" borderId="14" xfId="3" applyNumberFormat="1" applyFont="1" applyFill="1" applyBorder="1" applyAlignment="1" applyProtection="1">
      <alignment horizontal="right" vertical="center"/>
    </xf>
    <xf numFmtId="174" fontId="55" fillId="9" borderId="20" xfId="3" applyNumberFormat="1" applyFont="1" applyFill="1" applyBorder="1" applyAlignment="1" applyProtection="1">
      <alignment horizontal="right" vertical="center"/>
    </xf>
    <xf numFmtId="3" fontId="63" fillId="15" borderId="14" xfId="2" applyNumberFormat="1" applyFont="1" applyFill="1" applyBorder="1" applyAlignment="1" applyProtection="1">
      <alignment horizontal="center" vertical="center"/>
    </xf>
    <xf numFmtId="3" fontId="55" fillId="9" borderId="14" xfId="2" applyNumberFormat="1" applyFont="1" applyFill="1" applyBorder="1" applyAlignment="1" applyProtection="1">
      <alignment horizontal="center" vertical="center"/>
    </xf>
    <xf numFmtId="164" fontId="55" fillId="9" borderId="20" xfId="2" applyNumberFormat="1" applyFont="1" applyFill="1" applyBorder="1" applyAlignment="1" applyProtection="1">
      <alignment horizontal="center" vertical="center"/>
    </xf>
    <xf numFmtId="4" fontId="55" fillId="9" borderId="20" xfId="2" applyNumberFormat="1" applyFont="1" applyFill="1" applyBorder="1" applyAlignment="1" applyProtection="1">
      <alignment horizontal="center" vertical="center"/>
    </xf>
    <xf numFmtId="0" fontId="55" fillId="8" borderId="0" xfId="4" applyNumberFormat="1" applyFont="1" applyFill="1" applyBorder="1" applyAlignment="1" applyProtection="1">
      <alignment vertical="center"/>
    </xf>
    <xf numFmtId="0" fontId="70" fillId="0" borderId="0" xfId="4" applyFont="1"/>
    <xf numFmtId="0" fontId="55" fillId="8" borderId="10" xfId="4" applyFont="1" applyFill="1" applyBorder="1" applyAlignment="1" applyProtection="1">
      <alignment horizontal="center" vertical="center"/>
    </xf>
    <xf numFmtId="0" fontId="55" fillId="8" borderId="11" xfId="4" applyFont="1" applyFill="1" applyBorder="1" applyAlignment="1" applyProtection="1">
      <alignment horizontal="center" vertical="center"/>
    </xf>
    <xf numFmtId="0" fontId="55" fillId="8" borderId="11" xfId="4" applyFont="1" applyFill="1" applyBorder="1" applyAlignment="1" applyProtection="1">
      <alignment horizontal="center" vertical="center" wrapText="1"/>
    </xf>
    <xf numFmtId="0" fontId="55" fillId="8" borderId="5" xfId="4" applyFont="1" applyFill="1" applyBorder="1" applyAlignment="1" applyProtection="1">
      <alignment horizontal="center" vertical="center" wrapText="1"/>
    </xf>
    <xf numFmtId="0" fontId="55" fillId="8" borderId="13" xfId="4" applyFont="1" applyFill="1" applyBorder="1" applyAlignment="1" applyProtection="1">
      <alignment horizontal="center" vertical="center" wrapText="1"/>
    </xf>
    <xf numFmtId="4" fontId="71" fillId="0" borderId="0" xfId="4" applyNumberFormat="1" applyFont="1"/>
    <xf numFmtId="2" fontId="63" fillId="8" borderId="15" xfId="4" applyNumberFormat="1" applyFont="1" applyFill="1" applyBorder="1" applyAlignment="1" applyProtection="1">
      <alignment vertical="center" wrapText="1"/>
    </xf>
    <xf numFmtId="2" fontId="63" fillId="8" borderId="16" xfId="4" applyNumberFormat="1" applyFont="1" applyFill="1" applyBorder="1" applyAlignment="1" applyProtection="1">
      <alignment horizontal="center" vertical="center" wrapText="1"/>
    </xf>
    <xf numFmtId="166" fontId="70" fillId="0" borderId="0" xfId="4" applyNumberFormat="1" applyFont="1"/>
    <xf numFmtId="2" fontId="55" fillId="8" borderId="15" xfId="4" applyNumberFormat="1" applyFont="1" applyFill="1" applyBorder="1" applyAlignment="1" applyProtection="1">
      <alignment vertical="center" wrapText="1"/>
    </xf>
    <xf numFmtId="2" fontId="64" fillId="8" borderId="15" xfId="4" applyNumberFormat="1" applyFont="1" applyFill="1" applyBorder="1" applyAlignment="1" applyProtection="1">
      <alignment horizontal="right" vertical="center" wrapText="1"/>
    </xf>
    <xf numFmtId="0" fontId="72" fillId="8" borderId="26" xfId="4" applyFont="1" applyFill="1" applyBorder="1" applyAlignment="1">
      <alignment vertical="top"/>
    </xf>
    <xf numFmtId="0" fontId="55" fillId="8" borderId="16" xfId="4" applyFont="1" applyFill="1" applyBorder="1" applyAlignment="1" applyProtection="1">
      <alignment vertical="top"/>
    </xf>
    <xf numFmtId="4" fontId="64" fillId="8" borderId="14" xfId="4" applyNumberFormat="1" applyFont="1" applyFill="1" applyBorder="1" applyAlignment="1" applyProtection="1">
      <alignment horizontal="center" vertical="top"/>
    </xf>
    <xf numFmtId="2" fontId="63" fillId="8" borderId="37" xfId="4" applyNumberFormat="1" applyFont="1" applyFill="1" applyBorder="1" applyAlignment="1" applyProtection="1">
      <alignment horizontal="right" vertical="center" wrapText="1"/>
    </xf>
    <xf numFmtId="2" fontId="63" fillId="8" borderId="38" xfId="4" applyNumberFormat="1" applyFont="1" applyFill="1" applyBorder="1" applyAlignment="1" applyProtection="1">
      <alignment horizontal="center" vertical="center" wrapText="1"/>
    </xf>
    <xf numFmtId="0" fontId="55" fillId="0" borderId="6" xfId="4" applyFont="1" applyFill="1" applyBorder="1" applyAlignment="1" applyProtection="1">
      <alignment horizontal="center" vertical="center" wrapText="1"/>
    </xf>
    <xf numFmtId="3" fontId="55" fillId="20" borderId="14" xfId="3" applyNumberFormat="1" applyFont="1" applyFill="1" applyBorder="1" applyAlignment="1" applyProtection="1">
      <alignment horizontal="center" vertical="center"/>
    </xf>
    <xf numFmtId="2" fontId="55" fillId="8" borderId="21" xfId="4" applyNumberFormat="1" applyFont="1" applyFill="1" applyBorder="1" applyAlignment="1" applyProtection="1">
      <alignment vertical="center" wrapText="1"/>
    </xf>
    <xf numFmtId="2" fontId="63" fillId="8" borderId="22" xfId="4" applyNumberFormat="1" applyFont="1" applyFill="1" applyBorder="1" applyAlignment="1" applyProtection="1">
      <alignment horizontal="center" vertical="center" wrapText="1"/>
    </xf>
    <xf numFmtId="2" fontId="63" fillId="8" borderId="15" xfId="0" applyNumberFormat="1" applyFont="1" applyFill="1" applyBorder="1" applyAlignment="1" applyProtection="1">
      <alignment vertical="center" wrapText="1"/>
    </xf>
    <xf numFmtId="2" fontId="64" fillId="8" borderId="15" xfId="0" applyNumberFormat="1" applyFont="1" applyFill="1" applyBorder="1" applyAlignment="1" applyProtection="1">
      <alignment horizontal="right" vertical="center" wrapText="1"/>
    </xf>
    <xf numFmtId="4" fontId="55" fillId="15" borderId="15" xfId="2" applyNumberFormat="1" applyFont="1" applyFill="1" applyBorder="1" applyAlignment="1" applyProtection="1">
      <alignment horizontal="center" vertical="center"/>
      <protection locked="0"/>
    </xf>
    <xf numFmtId="4" fontId="55" fillId="9" borderId="15" xfId="2" applyNumberFormat="1" applyFont="1" applyFill="1" applyBorder="1" applyAlignment="1" applyProtection="1">
      <alignment horizontal="center" vertical="center"/>
      <protection locked="0"/>
    </xf>
    <xf numFmtId="3" fontId="63" fillId="15" borderId="15" xfId="2" applyNumberFormat="1" applyFont="1" applyFill="1" applyBorder="1" applyAlignment="1" applyProtection="1">
      <alignment horizontal="center" vertical="center"/>
    </xf>
    <xf numFmtId="3" fontId="63" fillId="15" borderId="37" xfId="2" applyNumberFormat="1" applyFont="1" applyFill="1" applyBorder="1" applyAlignment="1" applyProtection="1">
      <alignment horizontal="center" vertical="center"/>
    </xf>
    <xf numFmtId="3" fontId="63" fillId="15" borderId="21" xfId="2" applyNumberFormat="1" applyFont="1" applyFill="1" applyBorder="1" applyAlignment="1" applyProtection="1">
      <alignment horizontal="center" vertical="center"/>
    </xf>
    <xf numFmtId="2" fontId="55" fillId="9" borderId="15" xfId="0" applyNumberFormat="1" applyFont="1" applyFill="1" applyBorder="1" applyAlignment="1" applyProtection="1">
      <alignment vertical="center" wrapText="1"/>
    </xf>
    <xf numFmtId="2" fontId="2" fillId="9" borderId="15" xfId="4" applyNumberFormat="1" applyFont="1" applyFill="1" applyBorder="1" applyAlignment="1" applyProtection="1">
      <alignment vertical="center" wrapText="1"/>
    </xf>
    <xf numFmtId="2" fontId="35" fillId="9" borderId="15" xfId="0" applyNumberFormat="1" applyFont="1" applyFill="1" applyBorder="1" applyAlignment="1" applyProtection="1">
      <alignment vertical="center" wrapText="1"/>
    </xf>
    <xf numFmtId="4" fontId="67" fillId="8" borderId="15" xfId="2" applyNumberFormat="1" applyFont="1" applyFill="1" applyBorder="1" applyAlignment="1" applyProtection="1">
      <alignment horizontal="center" vertical="center"/>
    </xf>
    <xf numFmtId="4" fontId="67" fillId="8" borderId="19" xfId="2" applyNumberFormat="1" applyFont="1" applyFill="1" applyBorder="1" applyAlignment="1" applyProtection="1">
      <alignment horizontal="center" vertical="center"/>
    </xf>
    <xf numFmtId="4" fontId="66" fillId="9" borderId="15" xfId="2" applyNumberFormat="1" applyFont="1" applyFill="1" applyBorder="1" applyAlignment="1" applyProtection="1">
      <alignment horizontal="center" vertical="center"/>
    </xf>
    <xf numFmtId="4" fontId="55" fillId="15" borderId="14" xfId="2" applyNumberFormat="1" applyFont="1" applyFill="1" applyBorder="1" applyAlignment="1" applyProtection="1">
      <alignment horizontal="center" vertical="center"/>
    </xf>
    <xf numFmtId="173" fontId="55" fillId="9" borderId="14" xfId="3" applyNumberFormat="1" applyFont="1" applyFill="1" applyBorder="1" applyAlignment="1" applyProtection="1">
      <alignment horizontal="right" vertical="center"/>
    </xf>
    <xf numFmtId="173" fontId="55" fillId="15" borderId="14" xfId="3" applyNumberFormat="1" applyFont="1" applyFill="1" applyBorder="1" applyAlignment="1" applyProtection="1">
      <alignment horizontal="right" vertical="center"/>
    </xf>
    <xf numFmtId="173" fontId="55" fillId="8" borderId="14" xfId="3" applyNumberFormat="1" applyFont="1" applyFill="1" applyBorder="1" applyAlignment="1" applyProtection="1">
      <alignment horizontal="right" vertical="center"/>
    </xf>
    <xf numFmtId="173" fontId="55" fillId="9" borderId="20" xfId="3" applyNumberFormat="1" applyFont="1" applyFill="1" applyBorder="1" applyAlignment="1" applyProtection="1">
      <alignment horizontal="right" vertical="center"/>
    </xf>
    <xf numFmtId="0" fontId="73" fillId="8" borderId="0" xfId="0" applyFont="1" applyFill="1"/>
    <xf numFmtId="0" fontId="74" fillId="8" borderId="27" xfId="0" applyFont="1" applyFill="1" applyBorder="1" applyAlignment="1">
      <alignment horizontal="right" vertical="center"/>
    </xf>
    <xf numFmtId="171" fontId="75" fillId="8" borderId="27" xfId="0" applyNumberFormat="1" applyFont="1" applyFill="1" applyBorder="1" applyAlignment="1">
      <alignment horizontal="left" vertical="top" wrapText="1"/>
    </xf>
    <xf numFmtId="0" fontId="75" fillId="8" borderId="27" xfId="0" applyFont="1" applyFill="1" applyBorder="1" applyAlignment="1">
      <alignment horizontal="left" vertical="top" wrapText="1"/>
    </xf>
    <xf numFmtId="0" fontId="74" fillId="8" borderId="27" xfId="0" applyFont="1" applyFill="1" applyBorder="1" applyAlignment="1">
      <alignment horizontal="right" vertical="center" wrapText="1"/>
    </xf>
    <xf numFmtId="0" fontId="76" fillId="9" borderId="15" xfId="0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7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2" fontId="6" fillId="2" borderId="3" xfId="0" applyNumberFormat="1" applyFont="1" applyFill="1" applyBorder="1" applyAlignment="1" applyProtection="1">
      <alignment horizontal="center" vertical="center" wrapText="1"/>
    </xf>
    <xf numFmtId="2" fontId="6" fillId="2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>
      <alignment horizontal="center" vertical="center"/>
    </xf>
    <xf numFmtId="0" fontId="21" fillId="9" borderId="27" xfId="0" applyFont="1" applyFill="1" applyBorder="1" applyAlignment="1">
      <alignment horizontal="left" vertical="top" wrapText="1"/>
    </xf>
    <xf numFmtId="0" fontId="5" fillId="0" borderId="28" xfId="0" applyNumberFormat="1" applyFont="1" applyFill="1" applyBorder="1" applyAlignment="1" applyProtection="1">
      <alignment horizontal="center" vertical="center"/>
    </xf>
    <xf numFmtId="0" fontId="5" fillId="0" borderId="29" xfId="0" applyNumberFormat="1" applyFont="1" applyFill="1" applyBorder="1" applyAlignment="1" applyProtection="1">
      <alignment horizontal="center" vertical="center"/>
    </xf>
    <xf numFmtId="0" fontId="5" fillId="0" borderId="30" xfId="0" applyNumberFormat="1" applyFont="1" applyFill="1" applyBorder="1" applyAlignment="1" applyProtection="1">
      <alignment horizontal="center" vertical="center"/>
    </xf>
    <xf numFmtId="164" fontId="6" fillId="4" borderId="33" xfId="0" applyNumberFormat="1" applyFont="1" applyFill="1" applyBorder="1" applyAlignment="1" applyProtection="1">
      <alignment horizontal="center" vertical="center"/>
    </xf>
    <xf numFmtId="164" fontId="6" fillId="4" borderId="34" xfId="0" applyNumberFormat="1" applyFont="1" applyFill="1" applyBorder="1" applyAlignment="1" applyProtection="1">
      <alignment horizontal="center" vertical="center"/>
    </xf>
    <xf numFmtId="49" fontId="35" fillId="2" borderId="1" xfId="0" applyNumberFormat="1" applyFont="1" applyFill="1" applyBorder="1" applyAlignment="1" applyProtection="1">
      <alignment horizontal="center" vertical="center"/>
    </xf>
    <xf numFmtId="49" fontId="35" fillId="2" borderId="7" xfId="0" applyNumberFormat="1" applyFont="1" applyFill="1" applyBorder="1" applyAlignment="1" applyProtection="1">
      <alignment horizontal="center" vertical="center"/>
    </xf>
    <xf numFmtId="0" fontId="35" fillId="3" borderId="2" xfId="0" applyFont="1" applyFill="1" applyBorder="1" applyAlignment="1" applyProtection="1">
      <alignment horizontal="center" vertical="center" wrapText="1"/>
    </xf>
    <xf numFmtId="0" fontId="35" fillId="3" borderId="8" xfId="0" applyFont="1" applyFill="1" applyBorder="1" applyAlignment="1" applyProtection="1">
      <alignment horizontal="center" vertical="center" wrapText="1"/>
    </xf>
    <xf numFmtId="2" fontId="36" fillId="2" borderId="3" xfId="0" applyNumberFormat="1" applyFont="1" applyFill="1" applyBorder="1" applyAlignment="1" applyProtection="1">
      <alignment horizontal="center" vertical="center" wrapText="1"/>
    </xf>
    <xf numFmtId="2" fontId="36" fillId="2" borderId="9" xfId="0" applyNumberFormat="1" applyFont="1" applyFill="1" applyBorder="1" applyAlignment="1" applyProtection="1">
      <alignment horizontal="center" vertical="center" wrapText="1"/>
    </xf>
    <xf numFmtId="0" fontId="35" fillId="0" borderId="4" xfId="0" applyNumberFormat="1" applyFont="1" applyFill="1" applyBorder="1" applyAlignment="1" applyProtection="1">
      <alignment horizontal="center" vertical="center"/>
    </xf>
    <xf numFmtId="0" fontId="35" fillId="0" borderId="5" xfId="0" applyNumberFormat="1" applyFont="1" applyFill="1" applyBorder="1" applyAlignment="1" applyProtection="1">
      <alignment horizontal="center" vertical="center"/>
    </xf>
    <xf numFmtId="0" fontId="35" fillId="0" borderId="6" xfId="0" applyNumberFormat="1" applyFont="1" applyFill="1" applyBorder="1" applyAlignment="1" applyProtection="1">
      <alignment horizontal="center" vertical="center"/>
    </xf>
    <xf numFmtId="2" fontId="36" fillId="4" borderId="33" xfId="0" applyNumberFormat="1" applyFont="1" applyFill="1" applyBorder="1" applyAlignment="1" applyProtection="1">
      <alignment horizontal="center" vertical="center"/>
    </xf>
    <xf numFmtId="2" fontId="36" fillId="4" borderId="34" xfId="0" applyNumberFormat="1" applyFont="1" applyFill="1" applyBorder="1" applyAlignment="1" applyProtection="1">
      <alignment horizontal="center" vertical="center"/>
    </xf>
    <xf numFmtId="2" fontId="35" fillId="0" borderId="28" xfId="0" applyNumberFormat="1" applyFont="1" applyFill="1" applyBorder="1" applyAlignment="1" applyProtection="1">
      <alignment horizontal="center" vertical="center"/>
    </xf>
    <xf numFmtId="2" fontId="35" fillId="0" borderId="29" xfId="0" applyNumberFormat="1" applyFont="1" applyFill="1" applyBorder="1" applyAlignment="1" applyProtection="1">
      <alignment horizontal="center" vertical="center"/>
    </xf>
    <xf numFmtId="2" fontId="35" fillId="0" borderId="30" xfId="0" applyNumberFormat="1" applyFont="1" applyFill="1" applyBorder="1" applyAlignment="1" applyProtection="1">
      <alignment horizontal="center" vertical="center"/>
    </xf>
    <xf numFmtId="49" fontId="47" fillId="8" borderId="1" xfId="4" applyNumberFormat="1" applyFont="1" applyFill="1" applyBorder="1" applyAlignment="1" applyProtection="1">
      <alignment horizontal="center" vertical="center"/>
    </xf>
    <xf numFmtId="49" fontId="47" fillId="8" borderId="7" xfId="4" applyNumberFormat="1" applyFont="1" applyFill="1" applyBorder="1" applyAlignment="1" applyProtection="1">
      <alignment horizontal="center" vertical="center"/>
    </xf>
    <xf numFmtId="0" fontId="55" fillId="8" borderId="2" xfId="4" applyFont="1" applyFill="1" applyBorder="1" applyAlignment="1" applyProtection="1">
      <alignment horizontal="center" vertical="center" wrapText="1"/>
    </xf>
    <xf numFmtId="0" fontId="55" fillId="8" borderId="8" xfId="4" applyFont="1" applyFill="1" applyBorder="1" applyAlignment="1" applyProtection="1">
      <alignment horizontal="center" vertical="center" wrapText="1"/>
    </xf>
    <xf numFmtId="2" fontId="63" fillId="8" borderId="3" xfId="4" applyNumberFormat="1" applyFont="1" applyFill="1" applyBorder="1" applyAlignment="1" applyProtection="1">
      <alignment horizontal="center" vertical="center" wrapText="1"/>
    </xf>
    <xf numFmtId="2" fontId="63" fillId="8" borderId="9" xfId="4" applyNumberFormat="1" applyFont="1" applyFill="1" applyBorder="1" applyAlignment="1" applyProtection="1">
      <alignment horizontal="center" vertical="center" wrapText="1"/>
    </xf>
    <xf numFmtId="0" fontId="55" fillId="8" borderId="4" xfId="4" applyNumberFormat="1" applyFont="1" applyFill="1" applyBorder="1" applyAlignment="1" applyProtection="1">
      <alignment horizontal="center" vertical="center"/>
    </xf>
    <xf numFmtId="0" fontId="55" fillId="8" borderId="5" xfId="4" applyNumberFormat="1" applyFont="1" applyFill="1" applyBorder="1" applyAlignment="1" applyProtection="1">
      <alignment horizontal="center" vertical="center"/>
    </xf>
    <xf numFmtId="0" fontId="55" fillId="8" borderId="6" xfId="4" applyNumberFormat="1" applyFont="1" applyFill="1" applyBorder="1" applyAlignment="1" applyProtection="1">
      <alignment horizontal="center" vertical="center"/>
    </xf>
    <xf numFmtId="4" fontId="63" fillId="8" borderId="33" xfId="4" applyNumberFormat="1" applyFont="1" applyFill="1" applyBorder="1" applyAlignment="1" applyProtection="1">
      <alignment horizontal="center" vertical="center"/>
    </xf>
    <xf numFmtId="4" fontId="63" fillId="8" borderId="34" xfId="4" applyNumberFormat="1" applyFont="1" applyFill="1" applyBorder="1" applyAlignment="1" applyProtection="1">
      <alignment horizontal="center" vertical="center"/>
    </xf>
    <xf numFmtId="4" fontId="63" fillId="8" borderId="43" xfId="4" applyNumberFormat="1" applyFont="1" applyFill="1" applyBorder="1" applyAlignment="1" applyProtection="1">
      <alignment horizontal="center" vertical="center"/>
    </xf>
    <xf numFmtId="2" fontId="36" fillId="4" borderId="43" xfId="0" applyNumberFormat="1" applyFont="1" applyFill="1" applyBorder="1" applyAlignment="1" applyProtection="1">
      <alignment horizontal="center" vertical="center"/>
    </xf>
    <xf numFmtId="0" fontId="5" fillId="8" borderId="4" xfId="0" applyNumberFormat="1" applyFont="1" applyFill="1" applyBorder="1" applyAlignment="1" applyProtection="1">
      <alignment horizontal="center" vertical="center"/>
    </xf>
    <xf numFmtId="0" fontId="5" fillId="8" borderId="5" xfId="0" applyNumberFormat="1" applyFont="1" applyFill="1" applyBorder="1" applyAlignment="1" applyProtection="1">
      <alignment horizontal="center" vertical="center"/>
    </xf>
    <xf numFmtId="0" fontId="5" fillId="8" borderId="6" xfId="0" applyNumberFormat="1" applyFont="1" applyFill="1" applyBorder="1" applyAlignment="1" applyProtection="1">
      <alignment horizontal="center" vertical="center"/>
    </xf>
    <xf numFmtId="166" fontId="63" fillId="8" borderId="33" xfId="4" applyNumberFormat="1" applyFont="1" applyFill="1" applyBorder="1" applyAlignment="1" applyProtection="1">
      <alignment horizontal="center" vertical="center"/>
    </xf>
    <xf numFmtId="166" fontId="63" fillId="8" borderId="34" xfId="4" applyNumberFormat="1" applyFont="1" applyFill="1" applyBorder="1" applyAlignment="1" applyProtection="1">
      <alignment horizontal="center" vertical="center"/>
    </xf>
    <xf numFmtId="49" fontId="5" fillId="8" borderId="1" xfId="0" applyNumberFormat="1" applyFont="1" applyFill="1" applyBorder="1" applyAlignment="1" applyProtection="1">
      <alignment horizontal="center" vertical="center"/>
    </xf>
    <xf numFmtId="49" fontId="5" fillId="8" borderId="7" xfId="0" applyNumberFormat="1" applyFont="1" applyFill="1" applyBorder="1" applyAlignment="1" applyProtection="1">
      <alignment horizontal="center" vertical="center"/>
    </xf>
    <xf numFmtId="0" fontId="47" fillId="8" borderId="2" xfId="4" applyFont="1" applyFill="1" applyBorder="1" applyAlignment="1" applyProtection="1">
      <alignment horizontal="center" vertical="center" wrapText="1"/>
    </xf>
    <xf numFmtId="0" fontId="47" fillId="8" borderId="8" xfId="4" applyFont="1" applyFill="1" applyBorder="1" applyAlignment="1" applyProtection="1">
      <alignment horizontal="center" vertical="center" wrapText="1"/>
    </xf>
    <xf numFmtId="2" fontId="6" fillId="8" borderId="3" xfId="0" applyNumberFormat="1" applyFont="1" applyFill="1" applyBorder="1" applyAlignment="1" applyProtection="1">
      <alignment horizontal="center" vertical="center" wrapText="1"/>
    </xf>
    <xf numFmtId="2" fontId="6" fillId="8" borderId="9" xfId="0" applyNumberFormat="1" applyFont="1" applyFill="1" applyBorder="1" applyAlignment="1" applyProtection="1">
      <alignment horizontal="center" vertical="center" wrapText="1"/>
    </xf>
    <xf numFmtId="0" fontId="68" fillId="8" borderId="28" xfId="0" applyNumberFormat="1" applyFont="1" applyFill="1" applyBorder="1" applyAlignment="1" applyProtection="1">
      <alignment horizontal="center" vertical="center"/>
    </xf>
    <xf numFmtId="0" fontId="68" fillId="8" borderId="29" xfId="0" applyNumberFormat="1" applyFont="1" applyFill="1" applyBorder="1" applyAlignment="1" applyProtection="1">
      <alignment horizontal="center" vertical="center"/>
    </xf>
    <xf numFmtId="0" fontId="68" fillId="8" borderId="30" xfId="0" applyNumberFormat="1" applyFont="1" applyFill="1" applyBorder="1" applyAlignment="1" applyProtection="1">
      <alignment horizontal="center" vertical="center"/>
    </xf>
    <xf numFmtId="0" fontId="68" fillId="8" borderId="4" xfId="0" applyNumberFormat="1" applyFont="1" applyFill="1" applyBorder="1" applyAlignment="1" applyProtection="1">
      <alignment horizontal="center" vertical="center"/>
    </xf>
    <xf numFmtId="0" fontId="68" fillId="8" borderId="5" xfId="0" applyNumberFormat="1" applyFont="1" applyFill="1" applyBorder="1" applyAlignment="1" applyProtection="1">
      <alignment horizontal="center" vertical="center"/>
    </xf>
    <xf numFmtId="0" fontId="69" fillId="8" borderId="6" xfId="0" applyFont="1" applyFill="1" applyBorder="1" applyAlignment="1">
      <alignment horizontal="center" vertical="center"/>
    </xf>
    <xf numFmtId="0" fontId="68" fillId="8" borderId="6" xfId="0" applyNumberFormat="1" applyFont="1" applyFill="1" applyBorder="1" applyAlignment="1" applyProtection="1">
      <alignment horizontal="center" vertical="center"/>
    </xf>
    <xf numFmtId="0" fontId="5" fillId="8" borderId="28" xfId="0" applyNumberFormat="1" applyFont="1" applyFill="1" applyBorder="1" applyAlignment="1" applyProtection="1">
      <alignment horizontal="center" vertical="center"/>
    </xf>
    <xf numFmtId="0" fontId="5" fillId="8" borderId="29" xfId="0" applyNumberFormat="1" applyFont="1" applyFill="1" applyBorder="1" applyAlignment="1" applyProtection="1">
      <alignment horizontal="center" vertical="center"/>
    </xf>
    <xf numFmtId="0" fontId="5" fillId="8" borderId="30" xfId="0" applyNumberFormat="1" applyFont="1" applyFill="1" applyBorder="1" applyAlignment="1" applyProtection="1">
      <alignment horizontal="center" vertical="center"/>
    </xf>
    <xf numFmtId="0" fontId="0" fillId="8" borderId="6" xfId="0" applyFill="1" applyBorder="1" applyAlignment="1">
      <alignment horizontal="center" vertical="center"/>
    </xf>
    <xf numFmtId="4" fontId="6" fillId="8" borderId="33" xfId="4" applyNumberFormat="1" applyFont="1" applyFill="1" applyBorder="1" applyAlignment="1" applyProtection="1">
      <alignment horizontal="center" vertical="center"/>
    </xf>
    <xf numFmtId="4" fontId="6" fillId="8" borderId="34" xfId="4" applyNumberFormat="1" applyFont="1" applyFill="1" applyBorder="1" applyAlignment="1" applyProtection="1">
      <alignment horizontal="center" vertical="center"/>
    </xf>
    <xf numFmtId="4" fontId="6" fillId="8" borderId="43" xfId="4" applyNumberFormat="1" applyFont="1" applyFill="1" applyBorder="1" applyAlignment="1" applyProtection="1">
      <alignment horizontal="center" vertical="center"/>
    </xf>
    <xf numFmtId="14" fontId="21" fillId="8" borderId="27" xfId="0" applyNumberFormat="1" applyFont="1" applyFill="1" applyBorder="1" applyAlignment="1">
      <alignment horizontal="center" vertical="top" wrapText="1"/>
    </xf>
    <xf numFmtId="0" fontId="5" fillId="21" borderId="2" xfId="0" applyFont="1" applyFill="1" applyBorder="1" applyAlignment="1" applyProtection="1">
      <alignment horizontal="center" vertical="center" wrapText="1"/>
    </xf>
    <xf numFmtId="0" fontId="5" fillId="21" borderId="8" xfId="0" applyFont="1" applyFill="1" applyBorder="1" applyAlignment="1" applyProtection="1">
      <alignment horizontal="center" vertical="center" wrapText="1"/>
    </xf>
    <xf numFmtId="164" fontId="6" fillId="8" borderId="33" xfId="0" applyNumberFormat="1" applyFont="1" applyFill="1" applyBorder="1" applyAlignment="1" applyProtection="1">
      <alignment horizontal="center" vertical="center"/>
    </xf>
    <xf numFmtId="164" fontId="6" fillId="8" borderId="43" xfId="0" applyNumberFormat="1" applyFont="1" applyFill="1" applyBorder="1" applyAlignment="1" applyProtection="1">
      <alignment horizontal="center" vertical="center"/>
    </xf>
    <xf numFmtId="0" fontId="35" fillId="8" borderId="4" xfId="4" applyNumberFormat="1" applyFont="1" applyFill="1" applyBorder="1" applyAlignment="1" applyProtection="1">
      <alignment horizontal="center" vertical="center"/>
    </xf>
    <xf numFmtId="0" fontId="35" fillId="8" borderId="5" xfId="4" applyNumberFormat="1" applyFont="1" applyFill="1" applyBorder="1" applyAlignment="1" applyProtection="1">
      <alignment horizontal="center" vertical="center"/>
    </xf>
    <xf numFmtId="0" fontId="35" fillId="8" borderId="6" xfId="4" applyNumberFormat="1" applyFont="1" applyFill="1" applyBorder="1" applyAlignment="1" applyProtection="1">
      <alignment horizontal="center" vertical="center"/>
    </xf>
    <xf numFmtId="0" fontId="2" fillId="8" borderId="4" xfId="4" applyNumberFormat="1" applyFont="1" applyFill="1" applyBorder="1" applyAlignment="1" applyProtection="1">
      <alignment horizontal="center" vertical="center"/>
    </xf>
    <xf numFmtId="0" fontId="2" fillId="8" borderId="5" xfId="4" applyNumberFormat="1" applyFont="1" applyFill="1" applyBorder="1" applyAlignment="1" applyProtection="1">
      <alignment horizontal="center" vertical="center"/>
    </xf>
    <xf numFmtId="0" fontId="2" fillId="8" borderId="6" xfId="4" applyNumberFormat="1" applyFont="1" applyFill="1" applyBorder="1" applyAlignment="1" applyProtection="1">
      <alignment horizontal="center" vertical="center"/>
    </xf>
    <xf numFmtId="0" fontId="78" fillId="0" borderId="0" xfId="0" applyFont="1"/>
    <xf numFmtId="0" fontId="79" fillId="0" borderId="0" xfId="0" applyFont="1" applyAlignment="1">
      <alignment horizontal="center"/>
    </xf>
    <xf numFmtId="4" fontId="55" fillId="9" borderId="42" xfId="4" applyNumberFormat="1" applyFont="1" applyFill="1" applyBorder="1" applyAlignment="1">
      <alignment horizontal="center" vertical="center"/>
    </xf>
    <xf numFmtId="4" fontId="65" fillId="15" borderId="14" xfId="0" applyNumberFormat="1" applyFont="1" applyFill="1" applyBorder="1" applyAlignment="1" applyProtection="1">
      <alignment horizontal="right" vertical="center"/>
    </xf>
    <xf numFmtId="4" fontId="55" fillId="19" borderId="16" xfId="4" applyNumberFormat="1" applyFont="1" applyFill="1" applyBorder="1" applyAlignment="1" applyProtection="1">
      <alignment horizontal="center" vertical="top"/>
    </xf>
    <xf numFmtId="4" fontId="80" fillId="8" borderId="15" xfId="4" applyNumberFormat="1" applyFont="1" applyFill="1" applyBorder="1" applyAlignment="1" applyProtection="1">
      <alignment horizontal="center" vertical="center"/>
    </xf>
    <xf numFmtId="4" fontId="64" fillId="8" borderId="16" xfId="4" applyNumberFormat="1" applyFont="1" applyFill="1" applyBorder="1" applyAlignment="1" applyProtection="1">
      <alignment horizontal="center" vertical="top"/>
    </xf>
    <xf numFmtId="4" fontId="55" fillId="19" borderId="19" xfId="4" applyNumberFormat="1" applyFont="1" applyFill="1" applyBorder="1" applyAlignment="1" applyProtection="1">
      <alignment horizontal="center" vertical="top"/>
    </xf>
    <xf numFmtId="2" fontId="77" fillId="8" borderId="15" xfId="0" applyNumberFormat="1" applyFont="1" applyFill="1" applyBorder="1"/>
  </cellXfs>
  <cellStyles count="5">
    <cellStyle name="Обычный" xfId="0" builtinId="0"/>
    <cellStyle name="Обычный 10" xfId="4"/>
    <cellStyle name="Обычный 183" xfId="2"/>
    <cellStyle name="Процентный 2 10" xfId="1"/>
    <cellStyle name="Финансовый 10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%20&#1101;&#1082;&#1086;&#1085;&#1086;&#1084;&#1080;&#1082;&#1080;/&#1054;&#1090;&#1076;&#1077;&#1083;%20&#1090;&#1072;&#1088;&#1080;&#1092;&#1086;&#1086;&#1073;&#1088;&#1072;&#1079;&#1086;&#1074;&#1072;&#1085;&#1080;&#1103;/_&#1054;&#1073;&#1097;&#1072;&#1103;%20&#1087;&#1072;&#1087;&#1082;&#1072;/&#1055;&#1056;&#1045;&#1044;&#1045;&#1051;&#1067;_2015/&#1055;&#1056;&#1045;&#1044;&#1045;&#1051;&#1067;%20&#1055;&#1045;&#1056;&#1045;&#1044;&#1040;&#1063;&#1040;%20&#1069;&#1069;%202015%20&#1076;&#1083;&#1103;%20&#1060;&#1057;&#1058;/&#1055;&#1088;.2.%20&#1053;&#1042;&#1042;%20&#1089;%20%20&#1088;&#1072;&#1079;&#1073;&#1080;&#1074;&#1082;&#1086;&#1081;%20&#1087;&#1086;%20&#1091;&#1088;&#1086;&#1074;&#1085;&#1103;&#1084;%20&#1085;&#1072;&#1087;&#1088;&#1103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%20&#1101;&#1082;&#1086;&#1085;&#1086;&#1084;&#1080;&#1082;&#1080;/&#1054;&#1090;&#1076;&#1077;&#1083;%20&#1090;&#1072;&#1088;&#1080;&#1092;&#1086;&#1086;&#1073;&#1088;&#1072;&#1079;&#1086;&#1074;&#1072;&#1085;&#1080;&#1103;/_&#1054;&#1073;&#1097;&#1072;&#1103;%20&#1087;&#1072;&#1087;&#1082;&#1072;/&#1041;&#1040;&#1051;&#1040;&#1053;&#1057;&#1067;/2017/&#1040;&#1089;&#1090;&#1088;&#1072;&#1093;&#1072;&#1085;&#1100;_&#1055;&#1088;&#1080;&#1083;&#1086;&#1078;&#1077;&#1085;&#1080;&#1077;%201_&#1073;&#1072;&#1083;&#1072;&#1085;&#1089;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benkovaev/AppData/Local/Microsoft/Windows/Temporary%20Internet%20Files/Content.Outlook/E0ZVKGF1/&#1058;&#1086;&#1083;&#1100;&#1082;&#1086;%20&#1074;%20&#1056;&#1057;&#1058;/&#1056;&#1057;&#1058;%20%20&#1059;&#1058;&#1054;&#1063;&#1053;&#1045;&#1053;&#1053;&#1067;&#1049;%20&#1088;&#1072;&#1089;&#1095;&#1077;&#1090;_&#1087;&#1088;&#1086;&#1076;&#1083;&#1077;&#1085;&#1080;&#1077;%20&#1076;&#1086;%202022%20&#1087;&#1086;&#1089;&#1083;&#1077;&#1076;&#1085;&#1080;&#1081;%2003.11.16.%20-%20&#1088;&#1086;&#1089;&#1090;%203%20&#1080;%20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%20&#1101;&#1082;&#1086;&#1085;&#1086;&#1084;&#1080;&#1082;&#1080;/&#1054;&#1090;&#1076;&#1077;&#1083;%20&#1090;&#1072;&#1088;&#1080;&#1092;&#1086;&#1086;&#1073;&#1088;&#1072;&#1079;&#1086;&#1074;&#1072;&#1085;&#1080;&#1103;/_&#1054;&#1073;&#1097;&#1072;&#1103;%20&#1087;&#1072;&#1087;&#1082;&#1072;/&#1041;&#1040;&#1051;&#1040;&#1053;&#1057;&#1067;/2018/&#1040;&#1089;&#1090;&#1088;&#1072;&#1093;&#1072;&#1085;&#1100;_&#1042;&#1072;&#1088;&#1080;&#1072;&#1085;&#1090;&#1099;%20&#1073;&#1072;&#1083;&#1072;&#1085;&#1089;%202018%20&#1087;&#1086;&#1089;&#1083;&#1077;&#1076;__06.03.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МРСК энергия"/>
      <sheetName val="Данные МРСК мощность"/>
      <sheetName val="сходимость"/>
    </sheetNames>
    <sheetDataSet>
      <sheetData sheetId="0">
        <row r="19">
          <cell r="I19">
            <v>1433.088</v>
          </cell>
          <cell r="N19">
            <v>2782.9989999999998</v>
          </cell>
        </row>
      </sheetData>
      <sheetData sheetId="1">
        <row r="19">
          <cell r="D19">
            <v>432.59181809947836</v>
          </cell>
          <cell r="I19">
            <v>455.15894383776879</v>
          </cell>
          <cell r="N19">
            <v>443.87538096862357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разв.рег. баланс"/>
      <sheetName val="Баланс"/>
      <sheetName val="Астрахань"/>
      <sheetName val="Приложение 1"/>
      <sheetName val="Структура"/>
      <sheetName val="Сходимость1"/>
      <sheetName val="Анализ мощности"/>
      <sheetName val="анализ по сбытам"/>
      <sheetName val="заявки 2016 эл.эн."/>
      <sheetName val="заявки 2016 мощ."/>
      <sheetName val="Сравнительная по балансу"/>
      <sheetName val="Потери (ФСТ)"/>
      <sheetName val="Расчет норматива"/>
      <sheetName val="ПМ"/>
      <sheetName val="Перекрестка"/>
      <sheetName val="Сходимость"/>
      <sheetName val="Лист4"/>
      <sheetName val="по заявкам"/>
      <sheetName val="заявки помесячно"/>
      <sheetName val="баланс разбивка"/>
      <sheetName val="Русэнергосбыт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H6">
            <v>625.94525199999998</v>
          </cell>
        </row>
        <row r="7">
          <cell r="H7">
            <v>49.478338999999998</v>
          </cell>
        </row>
        <row r="8">
          <cell r="H8">
            <v>737.77198999999996</v>
          </cell>
        </row>
        <row r="9">
          <cell r="H9">
            <v>397.03408200000001</v>
          </cell>
        </row>
        <row r="11">
          <cell r="H11">
            <v>432.4880500000001</v>
          </cell>
        </row>
        <row r="12">
          <cell r="H12">
            <v>267.374436</v>
          </cell>
        </row>
        <row r="13">
          <cell r="H13">
            <v>304.05379199999999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ИП"/>
      <sheetName val="Сходимость"/>
      <sheetName val="Сглаживание"/>
      <sheetName val="1.2 Расч.расх.поRAB"/>
      <sheetName val="1.3 Расчет НВВ по RAB"/>
      <sheetName val="1.2 Расч.расх.поRAB (2022)"/>
      <sheetName val="1.3 Расчет НВВ по RAB (2022)"/>
      <sheetName val="ВК"/>
      <sheetName val="1.29 ЗатратыСО (2.4)"/>
      <sheetName val="1.27 НВВпоRAB (2.6)"/>
      <sheetName val="1.28 РасхRAB (2.8)"/>
      <sheetName val="1.26 Расчет ЭОТ (2.10)"/>
      <sheetName val="1.23 Объем у.е. (2.11)"/>
      <sheetName val="1.21 У.Е. ЛЭП (2.12)"/>
      <sheetName val="1.22 У.Е. ПС (2.13)"/>
      <sheetName val="Минимум 2017"/>
      <sheetName val="Минимум 2018"/>
      <sheetName val="1.6 ФСК "/>
      <sheetName val="Прил8(утв)"/>
      <sheetName val="Прил9"/>
      <sheetName val="ПС 1.2"/>
      <sheetName val="ПС 2.2"/>
      <sheetName val="ПС 3"/>
      <sheetName val="Лист1"/>
      <sheetName val="ПС 5"/>
      <sheetName val="Балансы"/>
      <sheetName val="Расчет расх.по RAB (шаблон)"/>
      <sheetName val="Расчет НВВ по RAB (шаблон) "/>
      <sheetName val="Сравнит"/>
      <sheetName val="Честные заемные"/>
      <sheetName val="1.8 Потери"/>
      <sheetName val="1.9 ТСО"/>
      <sheetName val="1.4 Подконтрольные"/>
      <sheetName val="1.5 Неподконтрольные"/>
      <sheetName val="1.7 Баланс ээ"/>
      <sheetName val="1.10 Факт 2015"/>
      <sheetName val="1.11 Факт 2015-расш"/>
      <sheetName val="1.12 Корр НВВ"/>
      <sheetName val="1.13 Корр ИПР"/>
      <sheetName val="1.14 Коррект. надежн."/>
      <sheetName val="1.17 доля 1став "/>
      <sheetName val="1.18 Расчет_аморт_"/>
      <sheetName val="1.19 Прибыль"/>
      <sheetName val="1.20 Расчет УЕ (2.1)"/>
      <sheetName val="1.20 Расчет УЕ (2.2)"/>
      <sheetName val="1.24 Тариф_сод"/>
      <sheetName val="1.25 Тариф_потери"/>
      <sheetName val="1.30"/>
      <sheetName val="1.31"/>
      <sheetName val="1.32"/>
      <sheetName val="расчет к раскрытию"/>
      <sheetName val="ставки"/>
      <sheetName val="Свод"/>
      <sheetName val="4"/>
      <sheetName val="5"/>
      <sheetName val="РасчетУЕ"/>
      <sheetName val="Лист2"/>
      <sheetName val="Лист3"/>
      <sheetName val="Лист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30">
          <cell r="N130">
            <v>5174217.1403420772</v>
          </cell>
          <cell r="O130">
            <v>5401428.4503509253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>
        <row r="34">
          <cell r="S34">
            <v>890.70852418380002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разв.рег. баланс"/>
      <sheetName val="Баланс"/>
      <sheetName val="Астрахань"/>
      <sheetName val="Приложение 1"/>
      <sheetName val="Структура"/>
      <sheetName val="Сходимость1"/>
      <sheetName val="БАЛАНС ВАРИАНТЫ"/>
      <sheetName val="Анализ мощности"/>
      <sheetName val="анализ по сбытам"/>
      <sheetName val="заявки 2016 эл.эн."/>
      <sheetName val="заявки 2016 мощ."/>
      <sheetName val="Сравнительная по балансу"/>
      <sheetName val="Потери (ФСТ)"/>
      <sheetName val="ПМ"/>
      <sheetName val="Перекрестка"/>
      <sheetName val="Сходимость"/>
      <sheetName val="Лист4"/>
      <sheetName val="по заявкам"/>
      <sheetName val="заявки помесячно"/>
      <sheetName val="баланс разбивка"/>
      <sheetName val="Русэнергосбыт"/>
      <sheetName val="ЦИФРЫ ФАС и МИНЭНЕРГО"/>
      <sheetName val="Лист2"/>
      <sheetName val="Лист3"/>
      <sheetName val="Структура ПО"/>
      <sheetName val="по данным АЭСК"/>
      <sheetName val="Сходимость (2)"/>
      <sheetName val="Потери"/>
      <sheetName val="Баланс2018"/>
      <sheetName val="Кратко балан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3">
          <cell r="CS33">
            <v>2821.3780188122814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313"/>
  <sheetViews>
    <sheetView tabSelected="1" view="pageBreakPreview" topLeftCell="B1" zoomScale="50" zoomScaleNormal="60" zoomScaleSheetLayoutView="50" workbookViewId="0">
      <selection activeCell="Z132" sqref="Z132"/>
    </sheetView>
  </sheetViews>
  <sheetFormatPr defaultColWidth="9.140625" defaultRowHeight="15" x14ac:dyDescent="0.25"/>
  <cols>
    <col min="1" max="1" width="5.5703125" customWidth="1"/>
    <col min="2" max="2" width="54.28515625" customWidth="1"/>
    <col min="3" max="3" width="19.7109375" customWidth="1"/>
    <col min="4" max="4" width="24.85546875" customWidth="1"/>
    <col min="5" max="5" width="20.140625" bestFit="1" customWidth="1"/>
    <col min="6" max="8" width="24.7109375" customWidth="1"/>
    <col min="9" max="10" width="18" customWidth="1"/>
    <col min="11" max="11" width="30" customWidth="1"/>
    <col min="12" max="15" width="26.28515625" customWidth="1"/>
    <col min="16" max="16" width="22" customWidth="1"/>
    <col min="17" max="17" width="20" customWidth="1"/>
    <col min="18" max="18" width="29.7109375" customWidth="1"/>
    <col min="19" max="19" width="23.28515625" hidden="1" customWidth="1"/>
    <col min="20" max="21" width="23.7109375" hidden="1" customWidth="1"/>
    <col min="22" max="22" width="26.5703125" hidden="1" customWidth="1"/>
    <col min="23" max="23" width="28.5703125" customWidth="1"/>
    <col min="24" max="24" width="23.42578125" customWidth="1"/>
    <col min="25" max="25" width="20.85546875" customWidth="1"/>
    <col min="26" max="26" width="14.85546875" customWidth="1"/>
  </cols>
  <sheetData>
    <row r="1" spans="1:23" ht="26.25" x14ac:dyDescent="0.4">
      <c r="N1" s="695" t="s">
        <v>85</v>
      </c>
    </row>
    <row r="2" spans="1:23" ht="26.25" x14ac:dyDescent="0.4">
      <c r="N2" s="695" t="s">
        <v>86</v>
      </c>
    </row>
    <row r="3" spans="1:23" ht="36" x14ac:dyDescent="0.55000000000000004">
      <c r="B3" s="696" t="s">
        <v>87</v>
      </c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6"/>
      <c r="O3" s="696"/>
      <c r="P3" s="696"/>
      <c r="Q3" s="696"/>
      <c r="R3" s="696"/>
      <c r="S3" s="696"/>
      <c r="T3" s="696"/>
      <c r="U3" s="696"/>
      <c r="V3" s="696"/>
      <c r="W3" s="696"/>
    </row>
    <row r="4" spans="1:23" s="3" customFormat="1" ht="24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  <c r="T4" s="2"/>
      <c r="U4" s="2"/>
      <c r="V4" s="2"/>
      <c r="W4" s="1"/>
    </row>
    <row r="5" spans="1:23" s="3" customFormat="1" ht="23.25" hidden="1" thickBot="1" x14ac:dyDescent="0.3">
      <c r="A5" s="616" t="s">
        <v>0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616"/>
      <c r="Q5" s="616"/>
      <c r="R5" s="616"/>
      <c r="S5" s="1"/>
      <c r="T5" s="1"/>
      <c r="U5" s="1"/>
      <c r="V5" s="1"/>
      <c r="W5" s="4"/>
    </row>
    <row r="6" spans="1:23" s="3" customFormat="1" ht="15.75" hidden="1" thickBot="1" x14ac:dyDescent="0.3"/>
    <row r="7" spans="1:23" s="3" customFormat="1" ht="16.5" hidden="1" thickBot="1" x14ac:dyDescent="0.3">
      <c r="A7" s="617" t="s">
        <v>1</v>
      </c>
      <c r="B7" s="619" t="s">
        <v>2</v>
      </c>
      <c r="C7" s="621"/>
      <c r="D7" s="623" t="s">
        <v>3</v>
      </c>
      <c r="E7" s="624"/>
      <c r="F7" s="624"/>
      <c r="G7" s="624"/>
      <c r="H7" s="624"/>
      <c r="I7" s="625"/>
      <c r="J7" s="5"/>
      <c r="K7" s="623" t="s">
        <v>4</v>
      </c>
      <c r="L7" s="624"/>
      <c r="M7" s="624"/>
      <c r="N7" s="624"/>
      <c r="O7" s="624"/>
      <c r="P7" s="625"/>
      <c r="Q7" s="5"/>
      <c r="R7" s="623">
        <v>2014</v>
      </c>
      <c r="S7" s="624"/>
      <c r="T7" s="624"/>
      <c r="U7" s="624"/>
      <c r="V7" s="624"/>
      <c r="W7" s="625"/>
    </row>
    <row r="8" spans="1:23" s="3" customFormat="1" ht="16.5" hidden="1" thickBot="1" x14ac:dyDescent="0.3">
      <c r="A8" s="618"/>
      <c r="B8" s="620"/>
      <c r="C8" s="622"/>
      <c r="D8" s="6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8" t="s">
        <v>10</v>
      </c>
      <c r="J8" s="9"/>
      <c r="K8" s="6" t="s">
        <v>5</v>
      </c>
      <c r="L8" s="7" t="s">
        <v>6</v>
      </c>
      <c r="M8" s="7" t="s">
        <v>7</v>
      </c>
      <c r="N8" s="7" t="s">
        <v>8</v>
      </c>
      <c r="O8" s="7" t="s">
        <v>9</v>
      </c>
      <c r="P8" s="10" t="s">
        <v>10</v>
      </c>
      <c r="Q8" s="9"/>
      <c r="R8" s="6" t="s">
        <v>5</v>
      </c>
      <c r="S8" s="9"/>
      <c r="T8" s="9"/>
      <c r="U8" s="9"/>
      <c r="V8" s="9"/>
      <c r="W8" s="10" t="s">
        <v>11</v>
      </c>
    </row>
    <row r="9" spans="1:23" s="3" customFormat="1" ht="19.5" hidden="1" thickBot="1" x14ac:dyDescent="0.3">
      <c r="A9" s="11" t="s">
        <v>12</v>
      </c>
      <c r="B9" s="12" t="s">
        <v>13</v>
      </c>
      <c r="C9" s="13" t="s">
        <v>14</v>
      </c>
      <c r="D9" s="14">
        <f>'[1]Данные МРСК мощность'!D19</f>
        <v>432.59181809947836</v>
      </c>
      <c r="E9" s="15">
        <f>(E19-E10*E14)/(E12/1000*6)</f>
        <v>104.92662715847926</v>
      </c>
      <c r="F9" s="15">
        <f>(F19-F10*F14)/(F12/1000*6)</f>
        <v>6.046158489334803</v>
      </c>
      <c r="G9" s="15">
        <f>(G19-G10*G14)/(G12/1000*6)</f>
        <v>86.239378996191263</v>
      </c>
      <c r="H9" s="15">
        <f>(H19-H10*H14)/(H12/1000*6)</f>
        <v>56.272898517139701</v>
      </c>
      <c r="I9" s="16">
        <v>179.10675493833332</v>
      </c>
      <c r="J9" s="17"/>
      <c r="K9" s="14">
        <f>'[1]Данные МРСК мощность'!I19</f>
        <v>455.15894383776879</v>
      </c>
      <c r="L9" s="15">
        <f>(L19-L10*L14)/(L12/1000*6)</f>
        <v>114.45817461272826</v>
      </c>
      <c r="M9" s="15">
        <f>(M19-M10*M14)/(M12/1000*6)</f>
        <v>7.0292997267425275</v>
      </c>
      <c r="N9" s="15">
        <f>(N19-N10*N14)/(N12/1000*6)</f>
        <v>91.156268122777988</v>
      </c>
      <c r="O9" s="15">
        <f>(O19-O10*O14)/(O12/1000*6)</f>
        <v>55.63182586885366</v>
      </c>
      <c r="P9" s="16">
        <v>186.88337550666665</v>
      </c>
      <c r="Q9" s="17"/>
      <c r="R9" s="18">
        <f>'[1]Данные МРСК мощность'!N19</f>
        <v>443.87538096862357</v>
      </c>
      <c r="S9" s="19"/>
      <c r="T9" s="19"/>
      <c r="U9" s="19"/>
      <c r="V9" s="19"/>
      <c r="W9" s="20">
        <f>(I9+P9)/2</f>
        <v>182.99506522249999</v>
      </c>
    </row>
    <row r="10" spans="1:23" s="3" customFormat="1" ht="16.5" hidden="1" thickBot="1" x14ac:dyDescent="0.3">
      <c r="A10" s="11" t="s">
        <v>15</v>
      </c>
      <c r="B10" s="12" t="s">
        <v>16</v>
      </c>
      <c r="C10" s="13" t="s">
        <v>17</v>
      </c>
      <c r="D10" s="14">
        <f>R10-K10</f>
        <v>1349.9109999999998</v>
      </c>
      <c r="E10" s="16">
        <f>478.23-30-0.08</f>
        <v>448.15000000000003</v>
      </c>
      <c r="F10" s="16">
        <v>18.88</v>
      </c>
      <c r="G10" s="16">
        <f>223.62+30</f>
        <v>253.62</v>
      </c>
      <c r="H10" s="16">
        <f>629.261-I10</f>
        <v>197.35364704999995</v>
      </c>
      <c r="I10" s="16">
        <v>431.90735295000002</v>
      </c>
      <c r="J10" s="17"/>
      <c r="K10" s="14">
        <f>'[1]Данные МРСК энергия'!I19</f>
        <v>1433.088</v>
      </c>
      <c r="L10" s="16">
        <f>533.85-44.9-0.17+0.08</f>
        <v>488.86</v>
      </c>
      <c r="M10" s="16">
        <v>21.95</v>
      </c>
      <c r="N10" s="16">
        <f>223.18+44.9</f>
        <v>268.08</v>
      </c>
      <c r="O10" s="16">
        <f>654.198-P10</f>
        <v>195.10535296</v>
      </c>
      <c r="P10" s="16">
        <v>459.09264703999997</v>
      </c>
      <c r="Q10" s="17"/>
      <c r="R10" s="21">
        <f>'[1]Данные МРСК энергия'!N19</f>
        <v>2782.9989999999998</v>
      </c>
      <c r="S10" s="22"/>
      <c r="T10" s="22"/>
      <c r="U10" s="22"/>
      <c r="V10" s="22"/>
      <c r="W10" s="20">
        <f>I10+P10</f>
        <v>890.99999998999999</v>
      </c>
    </row>
    <row r="11" spans="1:23" s="3" customFormat="1" ht="16.5" hidden="1" thickBot="1" x14ac:dyDescent="0.3">
      <c r="A11" s="23"/>
      <c r="B11" s="24"/>
      <c r="C11" s="25"/>
      <c r="D11" s="26"/>
      <c r="E11" s="27"/>
      <c r="F11" s="27"/>
      <c r="G11" s="27"/>
      <c r="H11" s="27"/>
      <c r="I11" s="28"/>
      <c r="J11" s="29"/>
      <c r="K11" s="26"/>
      <c r="L11" s="27"/>
      <c r="M11" s="27"/>
      <c r="N11" s="27"/>
      <c r="O11" s="27"/>
      <c r="P11" s="30"/>
      <c r="Q11" s="29"/>
      <c r="R11" s="26"/>
      <c r="S11" s="29"/>
      <c r="T11" s="29"/>
      <c r="U11" s="29"/>
      <c r="V11" s="29"/>
      <c r="W11" s="30"/>
    </row>
    <row r="12" spans="1:23" s="3" customFormat="1" ht="16.5" hidden="1" thickBot="1" x14ac:dyDescent="0.3">
      <c r="A12" s="31" t="s">
        <v>18</v>
      </c>
      <c r="B12" s="32" t="s">
        <v>19</v>
      </c>
      <c r="C12" s="13" t="s">
        <v>20</v>
      </c>
      <c r="D12" s="33"/>
      <c r="E12" s="34">
        <v>221952.35769999999</v>
      </c>
      <c r="F12" s="34">
        <v>295147.46250000002</v>
      </c>
      <c r="G12" s="34">
        <v>635233.56610000005</v>
      </c>
      <c r="H12" s="34">
        <v>949164.39710000006</v>
      </c>
      <c r="I12" s="35"/>
      <c r="J12" s="36"/>
      <c r="K12" s="33"/>
      <c r="L12" s="34">
        <v>221952.35769999999</v>
      </c>
      <c r="M12" s="34">
        <v>295147.46250000002</v>
      </c>
      <c r="N12" s="34">
        <v>635233.56610000005</v>
      </c>
      <c r="O12" s="34">
        <v>949164.39710000006</v>
      </c>
      <c r="P12" s="37"/>
      <c r="Q12" s="36"/>
      <c r="R12" s="33"/>
      <c r="S12" s="38"/>
      <c r="T12" s="38"/>
      <c r="U12" s="38"/>
      <c r="V12" s="38"/>
      <c r="W12" s="39"/>
    </row>
    <row r="13" spans="1:23" s="3" customFormat="1" ht="16.5" hidden="1" thickBot="1" x14ac:dyDescent="0.3">
      <c r="A13" s="31"/>
      <c r="B13" s="32"/>
      <c r="C13" s="13"/>
      <c r="D13" s="33"/>
      <c r="E13" s="40">
        <v>107</v>
      </c>
      <c r="F13" s="40">
        <v>107</v>
      </c>
      <c r="G13" s="40">
        <v>107</v>
      </c>
      <c r="H13" s="40">
        <v>107</v>
      </c>
      <c r="I13" s="41"/>
      <c r="J13" s="42"/>
      <c r="K13" s="43"/>
      <c r="L13" s="40">
        <v>100</v>
      </c>
      <c r="M13" s="40">
        <v>100</v>
      </c>
      <c r="N13" s="40">
        <v>100</v>
      </c>
      <c r="O13" s="40">
        <v>100</v>
      </c>
      <c r="P13" s="44"/>
      <c r="Q13" s="42"/>
      <c r="R13" s="33"/>
      <c r="S13" s="38"/>
      <c r="T13" s="38"/>
      <c r="U13" s="38"/>
      <c r="V13" s="38"/>
      <c r="W13" s="39"/>
    </row>
    <row r="14" spans="1:23" s="3" customFormat="1" ht="32.25" hidden="1" thickBot="1" x14ac:dyDescent="0.3">
      <c r="A14" s="31" t="s">
        <v>21</v>
      </c>
      <c r="B14" s="32" t="s">
        <v>22</v>
      </c>
      <c r="C14" s="13" t="s">
        <v>23</v>
      </c>
      <c r="D14" s="33"/>
      <c r="E14" s="34">
        <v>488.70110000000005</v>
      </c>
      <c r="F14" s="34">
        <v>472.2124</v>
      </c>
      <c r="G14" s="34">
        <v>376.89680000000004</v>
      </c>
      <c r="H14" s="34">
        <v>745.34060000000011</v>
      </c>
      <c r="I14" s="34">
        <v>1497.32</v>
      </c>
      <c r="J14" s="45"/>
      <c r="K14" s="33"/>
      <c r="L14" s="34">
        <v>488.70110000000005</v>
      </c>
      <c r="M14" s="34">
        <v>472.2124</v>
      </c>
      <c r="N14" s="34">
        <v>376.89680000000004</v>
      </c>
      <c r="O14" s="34">
        <v>745.34060000000011</v>
      </c>
      <c r="P14" s="37">
        <v>1620.3997039999999</v>
      </c>
      <c r="Q14" s="36"/>
      <c r="R14" s="33"/>
      <c r="S14" s="38"/>
      <c r="T14" s="38"/>
      <c r="U14" s="38"/>
      <c r="V14" s="38"/>
      <c r="W14" s="39"/>
    </row>
    <row r="15" spans="1:23" s="3" customFormat="1" ht="16.5" hidden="1" thickBot="1" x14ac:dyDescent="0.3">
      <c r="A15" s="31"/>
      <c r="B15" s="32"/>
      <c r="C15" s="13"/>
      <c r="D15" s="33"/>
      <c r="E15" s="40">
        <v>107</v>
      </c>
      <c r="F15" s="40">
        <v>107</v>
      </c>
      <c r="G15" s="40">
        <v>107</v>
      </c>
      <c r="H15" s="40">
        <v>107</v>
      </c>
      <c r="I15" s="40">
        <v>100</v>
      </c>
      <c r="J15" s="46"/>
      <c r="K15" s="33"/>
      <c r="L15" s="40">
        <v>100</v>
      </c>
      <c r="M15" s="40">
        <v>100</v>
      </c>
      <c r="N15" s="40">
        <v>100</v>
      </c>
      <c r="O15" s="40">
        <v>100</v>
      </c>
      <c r="P15" s="40" t="s">
        <v>24</v>
      </c>
      <c r="Q15" s="46"/>
      <c r="R15" s="33"/>
      <c r="S15" s="38"/>
      <c r="T15" s="38"/>
      <c r="U15" s="38"/>
      <c r="V15" s="38"/>
      <c r="W15" s="39"/>
    </row>
    <row r="16" spans="1:23" s="3" customFormat="1" ht="16.5" hidden="1" thickBot="1" x14ac:dyDescent="0.3">
      <c r="A16" s="31" t="s">
        <v>25</v>
      </c>
      <c r="B16" s="32" t="s">
        <v>26</v>
      </c>
      <c r="C16" s="13" t="s">
        <v>23</v>
      </c>
      <c r="D16" s="47">
        <v>1420.0344629720564</v>
      </c>
      <c r="E16" s="34">
        <v>800.49909999999988</v>
      </c>
      <c r="F16" s="34">
        <v>1039.3231000000001</v>
      </c>
      <c r="G16" s="34">
        <v>1672.9022000000004</v>
      </c>
      <c r="H16" s="34">
        <v>2369.194</v>
      </c>
      <c r="I16" s="34">
        <v>1497.32</v>
      </c>
      <c r="J16" s="45"/>
      <c r="K16" s="47">
        <v>1443.5769295534585</v>
      </c>
      <c r="L16" s="34">
        <v>800.49909999999988</v>
      </c>
      <c r="M16" s="34">
        <v>1039.3231000000001</v>
      </c>
      <c r="N16" s="34">
        <v>1672.9022000000004</v>
      </c>
      <c r="O16" s="34">
        <v>2369.194</v>
      </c>
      <c r="P16" s="37">
        <v>1620.3997039999999</v>
      </c>
      <c r="Q16" s="36"/>
      <c r="R16" s="48"/>
      <c r="S16" s="49"/>
      <c r="T16" s="49"/>
      <c r="U16" s="49"/>
      <c r="V16" s="49"/>
      <c r="W16" s="39"/>
    </row>
    <row r="17" spans="1:258" s="3" customFormat="1" ht="16.5" hidden="1" thickBot="1" x14ac:dyDescent="0.3">
      <c r="A17" s="33"/>
      <c r="B17" s="50" t="s">
        <v>27</v>
      </c>
      <c r="C17" s="39"/>
      <c r="D17" s="33"/>
      <c r="E17" s="40">
        <v>107</v>
      </c>
      <c r="F17" s="40">
        <v>107</v>
      </c>
      <c r="G17" s="40">
        <v>107</v>
      </c>
      <c r="H17" s="40">
        <v>107</v>
      </c>
      <c r="I17" s="40">
        <v>100</v>
      </c>
      <c r="J17" s="46"/>
      <c r="K17" s="51">
        <v>1.0165787994554223</v>
      </c>
      <c r="L17" s="40">
        <v>100</v>
      </c>
      <c r="M17" s="40">
        <v>100</v>
      </c>
      <c r="N17" s="40">
        <v>100</v>
      </c>
      <c r="O17" s="40">
        <v>100</v>
      </c>
      <c r="P17" s="52">
        <v>108.22</v>
      </c>
      <c r="Q17" s="53"/>
      <c r="R17" s="54">
        <f>R19/R10</f>
        <v>1432.1575094942466</v>
      </c>
      <c r="S17" s="55"/>
      <c r="T17" s="55"/>
      <c r="U17" s="55"/>
      <c r="V17" s="55"/>
      <c r="W17" s="56">
        <f>W18/W10</f>
        <v>1560.7374939471308</v>
      </c>
    </row>
    <row r="18" spans="1:258" s="3" customFormat="1" ht="16.5" hidden="1" thickBot="1" x14ac:dyDescent="0.3">
      <c r="A18" s="33">
        <v>6</v>
      </c>
      <c r="B18" s="32" t="s">
        <v>28</v>
      </c>
      <c r="C18" s="13" t="s">
        <v>29</v>
      </c>
      <c r="D18" s="57">
        <v>1916920.1419450718</v>
      </c>
      <c r="E18" s="58">
        <v>358743.67166499997</v>
      </c>
      <c r="F18" s="58">
        <v>19622.420128000002</v>
      </c>
      <c r="G18" s="58">
        <v>424281.45596400014</v>
      </c>
      <c r="H18" s="58">
        <v>467569.07646897755</v>
      </c>
      <c r="I18" s="59">
        <v>646703.51771909394</v>
      </c>
      <c r="J18" s="60"/>
      <c r="K18" s="57">
        <v>2068772.7748199068</v>
      </c>
      <c r="L18" s="58">
        <v>391331.99002599996</v>
      </c>
      <c r="M18" s="58">
        <v>22813.142045000001</v>
      </c>
      <c r="N18" s="58">
        <v>448471.62177600013</v>
      </c>
      <c r="O18" s="58">
        <v>462242.43160071422</v>
      </c>
      <c r="P18" s="61">
        <v>743913.58937219239</v>
      </c>
      <c r="Q18" s="60"/>
      <c r="R18" s="57">
        <v>3985692.9167649783</v>
      </c>
      <c r="S18" s="62"/>
      <c r="T18" s="62"/>
      <c r="U18" s="62"/>
      <c r="V18" s="62"/>
      <c r="W18" s="61">
        <v>1390617.1070912862</v>
      </c>
      <c r="X18" s="63"/>
    </row>
    <row r="19" spans="1:258" s="3" customFormat="1" ht="16.5" hidden="1" thickBot="1" x14ac:dyDescent="0.3">
      <c r="A19" s="64">
        <v>7</v>
      </c>
      <c r="B19" s="65" t="s">
        <v>30</v>
      </c>
      <c r="C19" s="66" t="s">
        <v>29</v>
      </c>
      <c r="D19" s="67">
        <v>1916920.1419450718</v>
      </c>
      <c r="E19" s="68">
        <v>358743.67166499997</v>
      </c>
      <c r="F19" s="68">
        <v>19622.420128000002</v>
      </c>
      <c r="G19" s="68">
        <v>424281.45596400014</v>
      </c>
      <c r="H19" s="68">
        <v>467569.07646897755</v>
      </c>
      <c r="I19" s="69">
        <v>646703.51771909394</v>
      </c>
      <c r="J19" s="70"/>
      <c r="K19" s="67">
        <v>2068772.7748199068</v>
      </c>
      <c r="L19" s="68">
        <v>391331.99002599996</v>
      </c>
      <c r="M19" s="68">
        <v>22813.142045000001</v>
      </c>
      <c r="N19" s="68">
        <v>448471.62177600007</v>
      </c>
      <c r="O19" s="68">
        <v>462242.43160071422</v>
      </c>
      <c r="P19" s="71">
        <v>743913.58937219239</v>
      </c>
      <c r="Q19" s="70"/>
      <c r="R19" s="67">
        <v>3985692.9167649783</v>
      </c>
      <c r="S19" s="72"/>
      <c r="T19" s="72"/>
      <c r="U19" s="72"/>
      <c r="V19" s="72"/>
      <c r="W19" s="71">
        <v>1390617.1070912862</v>
      </c>
      <c r="X19" s="63"/>
    </row>
    <row r="20" spans="1:258" s="3" customFormat="1" ht="20.100000000000001" hidden="1" customHeight="1" x14ac:dyDescent="0.25">
      <c r="A20" s="73"/>
      <c r="B20" s="74" t="s">
        <v>31</v>
      </c>
      <c r="C20" s="75" t="s">
        <v>23</v>
      </c>
      <c r="D20" s="76"/>
      <c r="E20" s="77"/>
      <c r="F20" s="77"/>
      <c r="G20" s="77"/>
      <c r="H20" s="77"/>
      <c r="I20" s="77"/>
      <c r="J20" s="77"/>
      <c r="K20" s="76"/>
      <c r="L20" s="77"/>
      <c r="M20" s="77"/>
      <c r="N20" s="77"/>
      <c r="O20" s="77"/>
      <c r="P20" s="77"/>
      <c r="Q20" s="77"/>
      <c r="R20" s="76"/>
      <c r="S20" s="76"/>
      <c r="T20" s="76"/>
      <c r="U20" s="76"/>
      <c r="V20" s="76"/>
      <c r="W20" s="77"/>
      <c r="X20" s="63"/>
    </row>
    <row r="21" spans="1:258" s="3" customFormat="1" ht="20.100000000000001" hidden="1" customHeight="1" x14ac:dyDescent="0.25">
      <c r="A21" s="78"/>
      <c r="B21" s="79" t="s">
        <v>32</v>
      </c>
      <c r="C21" s="80"/>
      <c r="D21" s="81">
        <f t="shared" ref="D21:R21" si="0">D18-D19</f>
        <v>0</v>
      </c>
      <c r="E21" s="82">
        <f t="shared" si="0"/>
        <v>0</v>
      </c>
      <c r="F21" s="82">
        <f t="shared" si="0"/>
        <v>0</v>
      </c>
      <c r="G21" s="82">
        <f t="shared" si="0"/>
        <v>0</v>
      </c>
      <c r="H21" s="82">
        <f t="shared" si="0"/>
        <v>0</v>
      </c>
      <c r="I21" s="82">
        <f t="shared" si="0"/>
        <v>0</v>
      </c>
      <c r="J21" s="82"/>
      <c r="K21" s="81">
        <f t="shared" si="0"/>
        <v>0</v>
      </c>
      <c r="L21" s="82">
        <f t="shared" si="0"/>
        <v>0</v>
      </c>
      <c r="M21" s="82">
        <f t="shared" si="0"/>
        <v>0</v>
      </c>
      <c r="N21" s="82">
        <f t="shared" si="0"/>
        <v>0</v>
      </c>
      <c r="O21" s="82">
        <f t="shared" si="0"/>
        <v>0</v>
      </c>
      <c r="P21" s="82">
        <f t="shared" si="0"/>
        <v>0</v>
      </c>
      <c r="Q21" s="82"/>
      <c r="R21" s="81">
        <f t="shared" si="0"/>
        <v>0</v>
      </c>
      <c r="S21" s="81"/>
      <c r="T21" s="81"/>
      <c r="U21" s="81"/>
      <c r="V21" s="81"/>
      <c r="W21" s="80"/>
    </row>
    <row r="22" spans="1:258" s="3" customFormat="1" ht="16.5" hidden="1" thickBot="1" x14ac:dyDescent="0.3">
      <c r="A22" s="83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4"/>
      <c r="CV22" s="84"/>
      <c r="CW22" s="84"/>
      <c r="CX22" s="84"/>
      <c r="CY22" s="84"/>
      <c r="CZ22" s="84"/>
      <c r="DA22" s="84"/>
      <c r="DB22" s="84"/>
      <c r="DC22" s="84"/>
      <c r="DD22" s="84"/>
      <c r="DE22" s="84"/>
      <c r="DF22" s="84"/>
      <c r="DG22" s="84"/>
      <c r="DH22" s="84"/>
      <c r="DI22" s="84"/>
      <c r="DJ22" s="84"/>
      <c r="DK22" s="84"/>
      <c r="DL22" s="84"/>
      <c r="DM22" s="84"/>
      <c r="DN22" s="84"/>
      <c r="DO22" s="84"/>
      <c r="DP22" s="84"/>
      <c r="DQ22" s="84"/>
      <c r="DR22" s="84"/>
      <c r="DS22" s="84"/>
      <c r="DT22" s="84"/>
      <c r="DU22" s="84"/>
      <c r="DV22" s="84"/>
      <c r="DW22" s="84"/>
      <c r="DX22" s="84"/>
      <c r="DY22" s="84"/>
      <c r="DZ22" s="84"/>
      <c r="EA22" s="84"/>
      <c r="EB22" s="84"/>
      <c r="EC22" s="84"/>
      <c r="ED22" s="84"/>
      <c r="EE22" s="84"/>
      <c r="EF22" s="84"/>
      <c r="EG22" s="84"/>
      <c r="EH22" s="84"/>
      <c r="EI22" s="84"/>
      <c r="EJ22" s="84"/>
      <c r="EK22" s="84"/>
      <c r="EL22" s="84"/>
      <c r="EM22" s="84"/>
      <c r="EN22" s="84"/>
      <c r="EO22" s="84"/>
      <c r="EP22" s="84"/>
      <c r="EQ22" s="84"/>
      <c r="ER22" s="84"/>
      <c r="ES22" s="84"/>
      <c r="ET22" s="84"/>
      <c r="EU22" s="84"/>
      <c r="EV22" s="84"/>
      <c r="EW22" s="84"/>
      <c r="EX22" s="84"/>
      <c r="EY22" s="84"/>
      <c r="EZ22" s="84"/>
      <c r="FA22" s="84"/>
      <c r="FB22" s="84"/>
      <c r="FC22" s="84"/>
      <c r="FD22" s="84"/>
      <c r="FE22" s="84"/>
      <c r="FF22" s="84"/>
      <c r="FG22" s="84"/>
      <c r="FH22" s="84"/>
      <c r="FI22" s="84"/>
      <c r="FJ22" s="84"/>
      <c r="FK22" s="84"/>
      <c r="FL22" s="84"/>
      <c r="FM22" s="84"/>
      <c r="FN22" s="84"/>
      <c r="FO22" s="84"/>
      <c r="FP22" s="84"/>
      <c r="FQ22" s="84"/>
      <c r="FR22" s="84"/>
      <c r="FS22" s="84"/>
      <c r="FT22" s="84"/>
      <c r="FU22" s="84"/>
      <c r="FV22" s="84"/>
      <c r="FW22" s="84"/>
      <c r="FX22" s="84"/>
      <c r="FY22" s="84"/>
      <c r="FZ22" s="84"/>
      <c r="GA22" s="84"/>
      <c r="GB22" s="84"/>
      <c r="GC22" s="84"/>
      <c r="GD22" s="84"/>
      <c r="GE22" s="84"/>
      <c r="GF22" s="84"/>
      <c r="GG22" s="84"/>
      <c r="GH22" s="84"/>
      <c r="GI22" s="84"/>
      <c r="GJ22" s="84"/>
      <c r="GK22" s="84"/>
      <c r="GL22" s="84"/>
      <c r="GM22" s="84"/>
      <c r="GN22" s="84"/>
      <c r="GO22" s="84"/>
      <c r="GP22" s="84"/>
      <c r="GQ22" s="84"/>
      <c r="GR22" s="84"/>
      <c r="GS22" s="84"/>
      <c r="GT22" s="84"/>
      <c r="GU22" s="84"/>
      <c r="GV22" s="84"/>
      <c r="GW22" s="84"/>
      <c r="GX22" s="84"/>
      <c r="GY22" s="84"/>
      <c r="GZ22" s="84"/>
      <c r="HA22" s="84"/>
      <c r="HB22" s="84"/>
      <c r="HC22" s="84"/>
      <c r="HD22" s="84"/>
      <c r="HE22" s="84"/>
      <c r="HF22" s="84"/>
      <c r="HG22" s="84"/>
      <c r="HH22" s="84"/>
      <c r="HI22" s="84"/>
      <c r="HJ22" s="84"/>
      <c r="HK22" s="84"/>
      <c r="HL22" s="84"/>
      <c r="HM22" s="84"/>
      <c r="HN22" s="84"/>
      <c r="HO22" s="84"/>
      <c r="HP22" s="84"/>
      <c r="HQ22" s="84"/>
      <c r="HR22" s="84"/>
      <c r="HS22" s="84"/>
      <c r="HT22" s="84"/>
      <c r="HU22" s="84"/>
      <c r="HV22" s="84"/>
      <c r="HW22" s="84"/>
      <c r="HX22" s="84"/>
      <c r="HY22" s="84"/>
      <c r="HZ22" s="84"/>
      <c r="IA22" s="84"/>
      <c r="IB22" s="84"/>
      <c r="IC22" s="84"/>
      <c r="ID22" s="84"/>
      <c r="IE22" s="84"/>
      <c r="IF22" s="84"/>
      <c r="IG22" s="84"/>
      <c r="IH22" s="84"/>
      <c r="II22" s="84"/>
      <c r="IJ22" s="84"/>
      <c r="IK22" s="84"/>
      <c r="IL22" s="84"/>
      <c r="IM22" s="84"/>
      <c r="IN22" s="84"/>
      <c r="IO22" s="84"/>
      <c r="IP22" s="84"/>
      <c r="IQ22" s="84"/>
      <c r="IR22" s="84"/>
      <c r="IS22" s="84"/>
      <c r="IT22" s="84"/>
      <c r="IU22" s="84"/>
      <c r="IV22" s="84"/>
      <c r="IW22" s="84"/>
      <c r="IX22" s="84"/>
    </row>
    <row r="23" spans="1:258" ht="15.75" hidden="1" thickBot="1" x14ac:dyDescent="0.3"/>
    <row r="24" spans="1:258" ht="15.75" hidden="1" thickBot="1" x14ac:dyDescent="0.3"/>
    <row r="25" spans="1:258" s="3" customFormat="1" ht="37.5" hidden="1" customHeight="1" x14ac:dyDescent="0.25">
      <c r="A25" s="616" t="s">
        <v>33</v>
      </c>
      <c r="B25" s="616"/>
      <c r="C25" s="616"/>
      <c r="D25" s="616"/>
      <c r="E25" s="616"/>
      <c r="F25" s="616"/>
      <c r="G25" s="616"/>
      <c r="H25" s="616"/>
      <c r="I25" s="616"/>
      <c r="J25" s="616"/>
      <c r="K25" s="616"/>
      <c r="L25" s="616"/>
      <c r="M25" s="616"/>
      <c r="N25" s="616"/>
      <c r="O25" s="616"/>
      <c r="P25" s="616"/>
      <c r="Q25" s="616"/>
      <c r="R25" s="616"/>
      <c r="S25" s="616"/>
      <c r="T25" s="616"/>
      <c r="U25" s="616"/>
      <c r="V25" s="616"/>
      <c r="W25" s="616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  <c r="DI25" s="84"/>
      <c r="DJ25" s="84"/>
      <c r="DK25" s="84"/>
      <c r="DL25" s="84"/>
      <c r="DM25" s="84"/>
      <c r="DN25" s="84"/>
      <c r="DO25" s="84"/>
      <c r="DP25" s="84"/>
      <c r="DQ25" s="84"/>
      <c r="DR25" s="84"/>
      <c r="DS25" s="84"/>
      <c r="DT25" s="84"/>
      <c r="DU25" s="84"/>
      <c r="DV25" s="84"/>
      <c r="DW25" s="84"/>
      <c r="DX25" s="84"/>
      <c r="DY25" s="84"/>
      <c r="DZ25" s="84"/>
      <c r="EA25" s="84"/>
      <c r="EB25" s="84"/>
      <c r="EC25" s="84"/>
      <c r="ED25" s="84"/>
      <c r="EE25" s="84"/>
      <c r="EF25" s="84"/>
      <c r="EG25" s="84"/>
      <c r="EH25" s="84"/>
      <c r="EI25" s="84"/>
      <c r="EJ25" s="84"/>
      <c r="EK25" s="84"/>
      <c r="EL25" s="84"/>
      <c r="EM25" s="84"/>
      <c r="EN25" s="84"/>
      <c r="EO25" s="84"/>
      <c r="EP25" s="84"/>
      <c r="EQ25" s="84"/>
      <c r="ER25" s="84"/>
      <c r="ES25" s="84"/>
      <c r="ET25" s="84"/>
      <c r="EU25" s="84"/>
      <c r="EV25" s="84"/>
      <c r="EW25" s="84"/>
      <c r="EX25" s="84"/>
      <c r="EY25" s="84"/>
      <c r="EZ25" s="84"/>
      <c r="FA25" s="84"/>
      <c r="FB25" s="84"/>
      <c r="FC25" s="84"/>
      <c r="FD25" s="84"/>
      <c r="FE25" s="84"/>
      <c r="FF25" s="84"/>
      <c r="FG25" s="84"/>
      <c r="FH25" s="84"/>
      <c r="FI25" s="84"/>
      <c r="FJ25" s="84"/>
      <c r="FK25" s="84"/>
      <c r="FL25" s="84"/>
      <c r="FM25" s="84"/>
      <c r="FN25" s="84"/>
      <c r="FO25" s="84"/>
      <c r="FP25" s="84"/>
      <c r="FQ25" s="84"/>
      <c r="FR25" s="84"/>
      <c r="FS25" s="84"/>
      <c r="FT25" s="84"/>
      <c r="FU25" s="84"/>
      <c r="FV25" s="84"/>
      <c r="FW25" s="84"/>
      <c r="FX25" s="84"/>
      <c r="FY25" s="84"/>
      <c r="FZ25" s="84"/>
      <c r="GA25" s="84"/>
      <c r="GB25" s="84"/>
      <c r="GC25" s="84"/>
      <c r="GD25" s="84"/>
      <c r="GE25" s="84"/>
      <c r="GF25" s="84"/>
      <c r="GG25" s="84"/>
      <c r="GH25" s="84"/>
      <c r="GI25" s="84"/>
      <c r="GJ25" s="84"/>
      <c r="GK25" s="84"/>
      <c r="GL25" s="84"/>
      <c r="GM25" s="84"/>
      <c r="GN25" s="84"/>
      <c r="GO25" s="84"/>
      <c r="GP25" s="84"/>
      <c r="GQ25" s="84"/>
      <c r="GR25" s="84"/>
      <c r="GS25" s="84"/>
      <c r="GT25" s="84"/>
      <c r="GU25" s="84"/>
      <c r="GV25" s="84"/>
      <c r="GW25" s="84"/>
      <c r="GX25" s="84"/>
      <c r="GY25" s="84"/>
      <c r="GZ25" s="84"/>
      <c r="HA25" s="84"/>
      <c r="HB25" s="84"/>
      <c r="HC25" s="84"/>
      <c r="HD25" s="84"/>
      <c r="HE25" s="84"/>
      <c r="HF25" s="84"/>
      <c r="HG25" s="84"/>
      <c r="HH25" s="84"/>
      <c r="HI25" s="84"/>
      <c r="HJ25" s="84"/>
      <c r="HK25" s="84"/>
      <c r="HL25" s="84"/>
      <c r="HM25" s="84"/>
      <c r="HN25" s="84"/>
      <c r="HO25" s="84"/>
      <c r="HP25" s="84"/>
      <c r="HQ25" s="84"/>
      <c r="HR25" s="84"/>
      <c r="HS25" s="84"/>
      <c r="HT25" s="84"/>
      <c r="HU25" s="84"/>
      <c r="HV25" s="84"/>
      <c r="HW25" s="84"/>
      <c r="HX25" s="84"/>
      <c r="HY25" s="84"/>
      <c r="HZ25" s="84"/>
      <c r="IA25" s="84"/>
      <c r="IB25" s="84"/>
      <c r="IC25" s="84"/>
      <c r="ID25" s="84"/>
      <c r="IE25" s="84"/>
      <c r="IF25" s="84"/>
      <c r="IG25" s="84"/>
      <c r="IH25" s="84"/>
      <c r="II25" s="84"/>
      <c r="IJ25" s="84"/>
      <c r="IK25" s="84"/>
      <c r="IL25" s="84"/>
      <c r="IM25" s="84"/>
      <c r="IN25" s="84"/>
      <c r="IO25" s="84"/>
      <c r="IP25" s="84"/>
      <c r="IQ25" s="84"/>
      <c r="IR25" s="84"/>
      <c r="IS25" s="84"/>
      <c r="IT25" s="84"/>
      <c r="IU25" s="84"/>
      <c r="IV25" s="84"/>
      <c r="IW25" s="84"/>
      <c r="IX25" s="84"/>
    </row>
    <row r="26" spans="1:258" s="3" customFormat="1" ht="16.5" hidden="1" thickBot="1" x14ac:dyDescent="0.3">
      <c r="A26" s="617" t="s">
        <v>1</v>
      </c>
      <c r="B26" s="619" t="s">
        <v>2</v>
      </c>
      <c r="C26" s="621"/>
      <c r="D26" s="624" t="s">
        <v>34</v>
      </c>
      <c r="E26" s="624"/>
      <c r="F26" s="624"/>
      <c r="G26" s="624"/>
      <c r="H26" s="624"/>
      <c r="I26" s="625"/>
      <c r="J26" s="5"/>
      <c r="K26" s="623" t="s">
        <v>35</v>
      </c>
      <c r="L26" s="624"/>
      <c r="M26" s="624"/>
      <c r="N26" s="624"/>
      <c r="O26" s="624"/>
      <c r="P26" s="625"/>
      <c r="Q26" s="5"/>
      <c r="R26" s="623">
        <v>2015</v>
      </c>
      <c r="S26" s="624"/>
      <c r="T26" s="624"/>
      <c r="U26" s="624"/>
      <c r="V26" s="624"/>
      <c r="W26" s="625"/>
    </row>
    <row r="27" spans="1:258" s="3" customFormat="1" ht="16.5" hidden="1" thickBot="1" x14ac:dyDescent="0.3">
      <c r="A27" s="618"/>
      <c r="B27" s="620"/>
      <c r="C27" s="622"/>
      <c r="D27" s="85" t="s">
        <v>5</v>
      </c>
      <c r="E27" s="7" t="s">
        <v>6</v>
      </c>
      <c r="F27" s="7" t="s">
        <v>7</v>
      </c>
      <c r="G27" s="7" t="s">
        <v>8</v>
      </c>
      <c r="H27" s="7" t="s">
        <v>9</v>
      </c>
      <c r="I27" s="8" t="s">
        <v>10</v>
      </c>
      <c r="J27" s="9"/>
      <c r="K27" s="6" t="s">
        <v>5</v>
      </c>
      <c r="L27" s="7" t="s">
        <v>6</v>
      </c>
      <c r="M27" s="7" t="s">
        <v>7</v>
      </c>
      <c r="N27" s="7" t="s">
        <v>8</v>
      </c>
      <c r="O27" s="7" t="s">
        <v>9</v>
      </c>
      <c r="P27" s="10" t="s">
        <v>10</v>
      </c>
      <c r="Q27" s="9"/>
      <c r="R27" s="85" t="s">
        <v>5</v>
      </c>
      <c r="S27" s="9"/>
      <c r="T27" s="9"/>
      <c r="U27" s="9"/>
      <c r="V27" s="9"/>
      <c r="W27" s="10" t="s">
        <v>10</v>
      </c>
    </row>
    <row r="28" spans="1:258" s="3" customFormat="1" ht="32.25" hidden="1" customHeight="1" x14ac:dyDescent="0.3">
      <c r="A28" s="11" t="s">
        <v>12</v>
      </c>
      <c r="B28" s="12" t="s">
        <v>13</v>
      </c>
      <c r="C28" s="13" t="s">
        <v>14</v>
      </c>
      <c r="D28" s="86">
        <f>E28+F28+G28+H28+I28</f>
        <v>436.48236710388278</v>
      </c>
      <c r="E28" s="15">
        <f>(E38-E29*E33)/(E31/1000*6)</f>
        <v>109.09606452361156</v>
      </c>
      <c r="F28" s="15">
        <f>(F38-F29*F33)/(F31/1000*6)</f>
        <v>6.6999927190803605</v>
      </c>
      <c r="G28" s="15">
        <f>(G38-G29*G33)/(G31/1000*6)</f>
        <v>86.885800358975089</v>
      </c>
      <c r="H28" s="15">
        <f>(H38-H29*H33)/(H31/1000*6)</f>
        <v>54.535709502215759</v>
      </c>
      <c r="I28" s="16">
        <v>179.26480000000001</v>
      </c>
      <c r="J28" s="17"/>
      <c r="K28" s="86">
        <f>L28+M28+N28+O28+P28</f>
        <v>461.85894625533831</v>
      </c>
      <c r="L28" s="15">
        <f>(L38-L29*L33)/(L31/1000*6)</f>
        <v>115.99072797023484</v>
      </c>
      <c r="M28" s="15">
        <f>(M38-M29*M33)/(M31/1000*6)</f>
        <v>7.1014467561966983</v>
      </c>
      <c r="N28" s="15">
        <f>(N38-N29*N33)/(N31/1000*6)</f>
        <v>92.130205715339542</v>
      </c>
      <c r="O28" s="15">
        <f>(O38-O29*O33)/(O31/1000*6)</f>
        <v>59.609065813567248</v>
      </c>
      <c r="P28" s="16">
        <v>187.0275</v>
      </c>
      <c r="Q28" s="17"/>
      <c r="R28" s="87">
        <f>(D28+K28)/2</f>
        <v>449.17065667961054</v>
      </c>
      <c r="S28" s="88"/>
      <c r="T28" s="88"/>
      <c r="U28" s="88"/>
      <c r="V28" s="88"/>
      <c r="W28" s="20">
        <v>183.14609999999999</v>
      </c>
      <c r="X28" s="89" t="s">
        <v>36</v>
      </c>
      <c r="Y28" s="90">
        <v>281.93</v>
      </c>
      <c r="Z28" s="91">
        <v>299.53999999999996</v>
      </c>
    </row>
    <row r="29" spans="1:258" s="3" customFormat="1" ht="20.100000000000001" hidden="1" customHeight="1" x14ac:dyDescent="0.3">
      <c r="A29" s="11" t="s">
        <v>15</v>
      </c>
      <c r="B29" s="12" t="s">
        <v>16</v>
      </c>
      <c r="C29" s="13" t="s">
        <v>17</v>
      </c>
      <c r="D29" s="86">
        <f>E29+F29+G29+H29+I29</f>
        <v>1365.9510248613319</v>
      </c>
      <c r="E29" s="16">
        <f>465.957999797438</f>
        <v>465.95799979743799</v>
      </c>
      <c r="F29" s="16">
        <v>20.921691477219984</v>
      </c>
      <c r="G29" s="16">
        <v>255.5210501691632</v>
      </c>
      <c r="H29" s="16">
        <v>191.26118341751064</v>
      </c>
      <c r="I29" s="16">
        <v>432.28910000000002</v>
      </c>
      <c r="J29" s="17"/>
      <c r="K29" s="86">
        <f>L29+M29+N29+O29+P29</f>
        <v>1456.9994898776808</v>
      </c>
      <c r="L29" s="16">
        <f>494.083109077463+1.3</f>
        <v>495.38310907746302</v>
      </c>
      <c r="M29" s="16">
        <v>22.184519584851092</v>
      </c>
      <c r="N29" s="16">
        <v>270.94423737161185</v>
      </c>
      <c r="O29" s="16">
        <f>201.746723843755+7.3</f>
        <v>209.04672384375502</v>
      </c>
      <c r="P29" s="16">
        <v>459.4409</v>
      </c>
      <c r="Q29" s="17"/>
      <c r="R29" s="87">
        <f>D29+K29</f>
        <v>2822.9505147390128</v>
      </c>
      <c r="S29" s="88"/>
      <c r="T29" s="88"/>
      <c r="U29" s="88"/>
      <c r="V29" s="88"/>
      <c r="W29" s="20">
        <v>891.73</v>
      </c>
      <c r="X29" s="92" t="s">
        <v>37</v>
      </c>
      <c r="Y29" s="91">
        <v>150.35999999999999</v>
      </c>
      <c r="Z29" s="91">
        <v>159.9</v>
      </c>
    </row>
    <row r="30" spans="1:258" s="3" customFormat="1" ht="20.100000000000001" hidden="1" customHeight="1" x14ac:dyDescent="0.25">
      <c r="A30" s="23"/>
      <c r="B30" s="24"/>
      <c r="C30" s="25"/>
      <c r="D30" s="93"/>
      <c r="E30" s="27"/>
      <c r="F30" s="27"/>
      <c r="G30" s="27"/>
      <c r="H30" s="27"/>
      <c r="I30" s="28"/>
      <c r="J30" s="29"/>
      <c r="K30" s="26"/>
      <c r="L30" s="27"/>
      <c r="M30" s="27"/>
      <c r="N30" s="27"/>
      <c r="O30" s="27"/>
      <c r="P30" s="30"/>
      <c r="Q30" s="29"/>
      <c r="R30" s="93"/>
      <c r="S30" s="29"/>
      <c r="T30" s="29"/>
      <c r="U30" s="29"/>
      <c r="V30" s="29"/>
      <c r="W30" s="30"/>
      <c r="Y30" s="94">
        <f>Y28+Y29</f>
        <v>432.28999999999996</v>
      </c>
      <c r="Z30" s="94">
        <f>Z28+Z29</f>
        <v>459.43999999999994</v>
      </c>
    </row>
    <row r="31" spans="1:258" s="3" customFormat="1" ht="20.100000000000001" hidden="1" customHeight="1" x14ac:dyDescent="0.25">
      <c r="A31" s="31" t="s">
        <v>18</v>
      </c>
      <c r="B31" s="32" t="s">
        <v>19</v>
      </c>
      <c r="C31" s="13" t="s">
        <v>20</v>
      </c>
      <c r="D31" s="95"/>
      <c r="E31" s="34">
        <v>221952.35769999999</v>
      </c>
      <c r="F31" s="34">
        <v>295147.46250000002</v>
      </c>
      <c r="G31" s="34">
        <v>635233.56610000005</v>
      </c>
      <c r="H31" s="34">
        <v>949164.39710000006</v>
      </c>
      <c r="I31" s="34"/>
      <c r="J31" s="45"/>
      <c r="K31" s="33"/>
      <c r="L31" s="34">
        <v>534943.65702605061</v>
      </c>
      <c r="M31" s="34">
        <v>475617.70166277583</v>
      </c>
      <c r="N31" s="34">
        <v>694515.31738841883</v>
      </c>
      <c r="O31" s="34">
        <v>1044850.0517474115</v>
      </c>
      <c r="P31" s="37">
        <v>0</v>
      </c>
      <c r="Q31" s="36"/>
      <c r="R31" s="95"/>
      <c r="S31" s="38"/>
      <c r="T31" s="38"/>
      <c r="U31" s="38"/>
      <c r="V31" s="38"/>
      <c r="W31" s="39"/>
    </row>
    <row r="32" spans="1:258" s="3" customFormat="1" ht="15.75" hidden="1" customHeight="1" x14ac:dyDescent="0.25">
      <c r="A32" s="31"/>
      <c r="B32" s="32"/>
      <c r="C32" s="13"/>
      <c r="D32" s="95"/>
      <c r="E32" s="40">
        <v>100</v>
      </c>
      <c r="F32" s="40">
        <v>100</v>
      </c>
      <c r="G32" s="40">
        <v>100</v>
      </c>
      <c r="H32" s="40">
        <v>100</v>
      </c>
      <c r="I32" s="41"/>
      <c r="J32" s="42"/>
      <c r="K32" s="43"/>
      <c r="L32" s="40">
        <f>L31/E31*100</f>
        <v>241.01733478727115</v>
      </c>
      <c r="M32" s="40">
        <f>M31/F31*100</f>
        <v>161.14578713776874</v>
      </c>
      <c r="N32" s="40">
        <f>N31/G31*100</f>
        <v>109.33227626058515</v>
      </c>
      <c r="O32" s="40">
        <f>O31/H31*100</f>
        <v>110.08104127585922</v>
      </c>
      <c r="P32" s="44"/>
      <c r="Q32" s="42"/>
      <c r="R32" s="95"/>
      <c r="S32" s="38"/>
      <c r="T32" s="38"/>
      <c r="U32" s="38"/>
      <c r="V32" s="38"/>
      <c r="W32" s="39"/>
    </row>
    <row r="33" spans="1:26" s="3" customFormat="1" ht="30" hidden="1" customHeight="1" x14ac:dyDescent="0.25">
      <c r="A33" s="31" t="s">
        <v>21</v>
      </c>
      <c r="B33" s="32" t="s">
        <v>22</v>
      </c>
      <c r="C33" s="13" t="s">
        <v>23</v>
      </c>
      <c r="D33" s="95"/>
      <c r="E33" s="34">
        <v>488.70110000000005</v>
      </c>
      <c r="F33" s="34">
        <v>472.2124</v>
      </c>
      <c r="G33" s="34">
        <v>376.8968000000001</v>
      </c>
      <c r="H33" s="34">
        <v>745.34060000000011</v>
      </c>
      <c r="I33" s="34">
        <v>1620.3997039999999</v>
      </c>
      <c r="J33" s="45"/>
      <c r="K33" s="33"/>
      <c r="L33" s="34">
        <v>109.04930297998449</v>
      </c>
      <c r="M33" s="34">
        <v>203.39733104248972</v>
      </c>
      <c r="N33" s="34">
        <v>381.41766071989861</v>
      </c>
      <c r="O33" s="34">
        <v>759.22342167905811</v>
      </c>
      <c r="P33" s="34">
        <f>I33*1.075</f>
        <v>1741.9296817999998</v>
      </c>
      <c r="Q33" s="45"/>
      <c r="R33" s="95"/>
      <c r="S33" s="38"/>
      <c r="T33" s="38"/>
      <c r="U33" s="38"/>
      <c r="V33" s="38"/>
      <c r="W33" s="39"/>
    </row>
    <row r="34" spans="1:26" s="3" customFormat="1" ht="20.100000000000001" hidden="1" customHeight="1" x14ac:dyDescent="0.25">
      <c r="A34" s="31"/>
      <c r="B34" s="32"/>
      <c r="C34" s="13" t="s">
        <v>23</v>
      </c>
      <c r="D34" s="95"/>
      <c r="E34" s="40">
        <v>100</v>
      </c>
      <c r="F34" s="40">
        <v>100</v>
      </c>
      <c r="G34" s="40">
        <v>100</v>
      </c>
      <c r="H34" s="40">
        <v>100</v>
      </c>
      <c r="I34" s="40">
        <v>100</v>
      </c>
      <c r="J34" s="46"/>
      <c r="K34" s="33"/>
      <c r="L34" s="40">
        <f>L33/E33*100</f>
        <v>22.314110399993879</v>
      </c>
      <c r="M34" s="40">
        <f>M33/F33*100</f>
        <v>43.073271909524131</v>
      </c>
      <c r="N34" s="40">
        <f>N33/G33*100</f>
        <v>101.1994956497106</v>
      </c>
      <c r="O34" s="40">
        <f>O33/H33*100</f>
        <v>101.86261444486695</v>
      </c>
      <c r="P34" s="40">
        <f>P33/I33*100</f>
        <v>107.5</v>
      </c>
      <c r="Q34" s="46"/>
      <c r="R34" s="95"/>
      <c r="S34" s="38"/>
      <c r="T34" s="38"/>
      <c r="U34" s="38"/>
      <c r="V34" s="38"/>
      <c r="W34" s="39"/>
    </row>
    <row r="35" spans="1:26" s="3" customFormat="1" ht="20.100000000000001" hidden="1" customHeight="1" x14ac:dyDescent="0.25">
      <c r="A35" s="31" t="s">
        <v>25</v>
      </c>
      <c r="B35" s="32" t="s">
        <v>26</v>
      </c>
      <c r="C35" s="96"/>
      <c r="D35" s="97">
        <f>D38/D29</f>
        <v>1446.4801633440504</v>
      </c>
      <c r="E35" s="34">
        <v>800.49909999999988</v>
      </c>
      <c r="F35" s="34">
        <v>1039.3231000000001</v>
      </c>
      <c r="G35" s="34">
        <v>1672.9022000000002</v>
      </c>
      <c r="H35" s="34">
        <v>2369.194</v>
      </c>
      <c r="I35" s="34">
        <v>1620.3997039999999</v>
      </c>
      <c r="J35" s="45"/>
      <c r="K35" s="97">
        <f>K38/K29</f>
        <v>1558.7308113807753</v>
      </c>
      <c r="L35" s="34">
        <v>860.57073838454187</v>
      </c>
      <c r="M35" s="34">
        <v>1116.8921052009321</v>
      </c>
      <c r="N35" s="34">
        <v>1798.369864999999</v>
      </c>
      <c r="O35" s="34">
        <v>2546.8391571872098</v>
      </c>
      <c r="P35" s="34">
        <f>I35*1.075</f>
        <v>1741.9296817999998</v>
      </c>
      <c r="Q35" s="45"/>
      <c r="R35" s="97">
        <f>R38/R29</f>
        <v>1504.4156942979353</v>
      </c>
      <c r="S35" s="98"/>
      <c r="T35" s="98"/>
      <c r="U35" s="98"/>
      <c r="V35" s="98"/>
      <c r="W35" s="39"/>
    </row>
    <row r="36" spans="1:26" s="3" customFormat="1" ht="16.5" hidden="1" thickBot="1" x14ac:dyDescent="0.3">
      <c r="A36" s="33"/>
      <c r="B36" s="50" t="s">
        <v>27</v>
      </c>
      <c r="C36" s="39"/>
      <c r="D36" s="95"/>
      <c r="E36" s="40">
        <v>100</v>
      </c>
      <c r="F36" s="40">
        <v>100</v>
      </c>
      <c r="G36" s="40">
        <v>100</v>
      </c>
      <c r="H36" s="40">
        <v>100</v>
      </c>
      <c r="I36" s="40">
        <v>100</v>
      </c>
      <c r="J36" s="46"/>
      <c r="K36" s="99">
        <v>1.0595988214208163</v>
      </c>
      <c r="L36" s="40">
        <f>L35/E35*100</f>
        <v>107.50427306970639</v>
      </c>
      <c r="M36" s="40">
        <f>M35/F35*100</f>
        <v>107.46341587143901</v>
      </c>
      <c r="N36" s="40">
        <f>N35/G35*100</f>
        <v>107.49999999999993</v>
      </c>
      <c r="O36" s="40">
        <f>O35/H35*100</f>
        <v>107.49812624830257</v>
      </c>
      <c r="P36" s="40">
        <f>P35/I35*100</f>
        <v>107.5</v>
      </c>
      <c r="Q36" s="46"/>
      <c r="R36" s="100" t="s">
        <v>38</v>
      </c>
      <c r="S36" s="101"/>
      <c r="T36" s="101"/>
      <c r="U36" s="101"/>
      <c r="V36" s="101"/>
      <c r="W36" s="102"/>
    </row>
    <row r="37" spans="1:26" s="3" customFormat="1" ht="16.5" hidden="1" thickBot="1" x14ac:dyDescent="0.3">
      <c r="A37" s="103">
        <v>6</v>
      </c>
      <c r="B37" s="32" t="s">
        <v>28</v>
      </c>
      <c r="C37" s="13" t="s">
        <v>29</v>
      </c>
      <c r="D37" s="57">
        <f>SUM(E37:I37)</f>
        <v>1975821.0615613926</v>
      </c>
      <c r="E37" s="58">
        <f>E28*E31*6/1000+E29*E33</f>
        <v>372998.95947564917</v>
      </c>
      <c r="F37" s="58">
        <f>F28*F31*6/1000+F29*F33</f>
        <v>21744.397243347856</v>
      </c>
      <c r="G37" s="58">
        <f>G28*G31*6/1000+G29*G33</f>
        <v>427461.7269743036</v>
      </c>
      <c r="H37" s="58">
        <f>H28*H31*6/1000+H29*H33</f>
        <v>453134.84818566567</v>
      </c>
      <c r="I37" s="59">
        <f>I28*I31*6/1000+I29*I33</f>
        <v>700481.12968242646</v>
      </c>
      <c r="J37" s="60"/>
      <c r="K37" s="57">
        <f>SUM(L37:P37)</f>
        <v>2271069.9970384133</v>
      </c>
      <c r="L37" s="58">
        <f>L28*L31*6/1000+L29*L33</f>
        <v>426312.2079620224</v>
      </c>
      <c r="M37" s="58">
        <f>M28*M31*6/1000+M29*M33</f>
        <v>24777.714781995644</v>
      </c>
      <c r="N37" s="58">
        <f>N28*N31*6/1000+N29*N33</f>
        <v>487257.9515845133</v>
      </c>
      <c r="O37" s="58">
        <f>O28*O31*6/1000+O29*O33</f>
        <v>532408.38196697645</v>
      </c>
      <c r="P37" s="61">
        <f>P28*P31*6/1000+P29*P33</f>
        <v>800313.74074290553</v>
      </c>
      <c r="Q37" s="60"/>
      <c r="R37" s="57">
        <f>D37+K37</f>
        <v>4246891.0585998055</v>
      </c>
      <c r="S37" s="62"/>
      <c r="T37" s="62"/>
      <c r="U37" s="62"/>
      <c r="V37" s="62"/>
      <c r="W37" s="61">
        <f>I37+P37</f>
        <v>1500794.8704253319</v>
      </c>
    </row>
    <row r="38" spans="1:26" s="3" customFormat="1" ht="16.5" hidden="1" thickBot="1" x14ac:dyDescent="0.3">
      <c r="A38" s="104">
        <v>7</v>
      </c>
      <c r="B38" s="65" t="s">
        <v>30</v>
      </c>
      <c r="C38" s="66" t="s">
        <v>29</v>
      </c>
      <c r="D38" s="67">
        <f>SUM(E38:I38)</f>
        <v>1975821.0615613926</v>
      </c>
      <c r="E38" s="68">
        <f>E29*E35</f>
        <v>372998.95947564923</v>
      </c>
      <c r="F38" s="68">
        <f>F29*F35</f>
        <v>21744.397243347856</v>
      </c>
      <c r="G38" s="68">
        <f>G29*G35</f>
        <v>427461.72697430354</v>
      </c>
      <c r="H38" s="68">
        <f>H29*H35</f>
        <v>453134.84818566567</v>
      </c>
      <c r="I38" s="69">
        <f>I29*I35</f>
        <v>700481.12968242646</v>
      </c>
      <c r="J38" s="70"/>
      <c r="K38" s="67">
        <f>SUM(L38:P38)</f>
        <v>2271069.9970384133</v>
      </c>
      <c r="L38" s="68">
        <f>L29*L35</f>
        <v>426312.2079620224</v>
      </c>
      <c r="M38" s="68">
        <f>M29*M35</f>
        <v>24777.714781995644</v>
      </c>
      <c r="N38" s="68">
        <f>N29*N35</f>
        <v>487257.9515845133</v>
      </c>
      <c r="O38" s="68">
        <f>O29*O35</f>
        <v>532408.38196697645</v>
      </c>
      <c r="P38" s="71">
        <f>P29*P35</f>
        <v>800313.74074290553</v>
      </c>
      <c r="Q38" s="70"/>
      <c r="R38" s="67">
        <f>D38+K38</f>
        <v>4246891.0585998055</v>
      </c>
      <c r="S38" s="72"/>
      <c r="T38" s="72"/>
      <c r="U38" s="72"/>
      <c r="V38" s="72"/>
      <c r="W38" s="71">
        <f>I38+P38</f>
        <v>1500794.8704253319</v>
      </c>
    </row>
    <row r="39" spans="1:26" s="3" customFormat="1" ht="16.5" hidden="1" thickBot="1" x14ac:dyDescent="0.3">
      <c r="A39" s="78"/>
      <c r="B39" s="79" t="s">
        <v>32</v>
      </c>
      <c r="C39" s="80"/>
      <c r="D39" s="81">
        <v>0</v>
      </c>
      <c r="E39" s="82">
        <v>0</v>
      </c>
      <c r="F39" s="82">
        <v>0</v>
      </c>
      <c r="G39" s="82">
        <v>0</v>
      </c>
      <c r="H39" s="82">
        <v>0</v>
      </c>
      <c r="I39" s="82">
        <v>0</v>
      </c>
      <c r="J39" s="82"/>
      <c r="K39" s="81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82"/>
      <c r="R39" s="81">
        <v>0</v>
      </c>
      <c r="S39" s="81"/>
      <c r="T39" s="81"/>
      <c r="U39" s="81"/>
      <c r="V39" s="81"/>
      <c r="W39" s="80"/>
    </row>
    <row r="40" spans="1:26" ht="15.75" hidden="1" thickBot="1" x14ac:dyDescent="0.3"/>
    <row r="41" spans="1:26" ht="15.75" hidden="1" thickBot="1" x14ac:dyDescent="0.3"/>
    <row r="42" spans="1:26" ht="15.75" hidden="1" thickBot="1" x14ac:dyDescent="0.3"/>
    <row r="43" spans="1:26" ht="27.75" hidden="1" thickBot="1" x14ac:dyDescent="0.3">
      <c r="A43" s="626" t="s">
        <v>39</v>
      </c>
      <c r="B43" s="626"/>
      <c r="C43" s="626"/>
      <c r="D43" s="626"/>
      <c r="E43" s="626"/>
      <c r="F43" s="626"/>
      <c r="G43" s="626"/>
      <c r="H43" s="626"/>
      <c r="I43" s="626"/>
      <c r="J43" s="626"/>
      <c r="K43" s="626"/>
      <c r="L43" s="626"/>
      <c r="M43" s="626"/>
      <c r="N43" s="626"/>
      <c r="O43" s="626"/>
      <c r="P43" s="626"/>
      <c r="Q43" s="626"/>
      <c r="R43" s="626"/>
      <c r="S43" s="626"/>
      <c r="T43" s="626"/>
      <c r="U43" s="626"/>
      <c r="V43" s="626"/>
      <c r="W43" s="626"/>
    </row>
    <row r="44" spans="1:26" ht="16.5" hidden="1" thickBot="1" x14ac:dyDescent="0.3">
      <c r="A44" s="617" t="s">
        <v>1</v>
      </c>
      <c r="B44" s="619" t="s">
        <v>2</v>
      </c>
      <c r="C44" s="621"/>
      <c r="D44" s="627" t="s">
        <v>40</v>
      </c>
      <c r="E44" s="628"/>
      <c r="F44" s="628"/>
      <c r="G44" s="628"/>
      <c r="H44" s="628"/>
      <c r="I44" s="628"/>
      <c r="J44" s="629"/>
      <c r="K44" s="623" t="s">
        <v>41</v>
      </c>
      <c r="L44" s="624"/>
      <c r="M44" s="624"/>
      <c r="N44" s="624"/>
      <c r="O44" s="624"/>
      <c r="P44" s="625"/>
      <c r="Q44" s="5"/>
      <c r="R44" s="623">
        <v>2016</v>
      </c>
      <c r="S44" s="624"/>
      <c r="T44" s="624"/>
      <c r="U44" s="624"/>
      <c r="V44" s="624"/>
      <c r="W44" s="625"/>
    </row>
    <row r="45" spans="1:26" ht="32.25" hidden="1" thickBot="1" x14ac:dyDescent="0.3">
      <c r="A45" s="618"/>
      <c r="B45" s="620"/>
      <c r="C45" s="622"/>
      <c r="D45" s="6" t="s">
        <v>5</v>
      </c>
      <c r="E45" s="7" t="s">
        <v>6</v>
      </c>
      <c r="F45" s="7" t="s">
        <v>7</v>
      </c>
      <c r="G45" s="7" t="s">
        <v>8</v>
      </c>
      <c r="H45" s="7" t="s">
        <v>9</v>
      </c>
      <c r="I45" s="105" t="s">
        <v>42</v>
      </c>
      <c r="J45" s="106" t="s">
        <v>43</v>
      </c>
      <c r="K45" s="6" t="s">
        <v>5</v>
      </c>
      <c r="L45" s="7" t="s">
        <v>6</v>
      </c>
      <c r="M45" s="7" t="s">
        <v>7</v>
      </c>
      <c r="N45" s="7" t="s">
        <v>8</v>
      </c>
      <c r="O45" s="7" t="s">
        <v>9</v>
      </c>
      <c r="P45" s="105" t="s">
        <v>42</v>
      </c>
      <c r="Q45" s="107" t="s">
        <v>43</v>
      </c>
      <c r="R45" s="6" t="s">
        <v>5</v>
      </c>
      <c r="S45" s="9"/>
      <c r="T45" s="9"/>
      <c r="U45" s="9"/>
      <c r="V45" s="9"/>
      <c r="W45" s="10" t="s">
        <v>10</v>
      </c>
      <c r="Y45" s="108" t="s">
        <v>44</v>
      </c>
      <c r="Z45" s="108">
        <f>(R58-W58)/(R47-W47)</f>
        <v>1593.2102498441716</v>
      </c>
    </row>
    <row r="46" spans="1:26" ht="19.5" hidden="1" thickBot="1" x14ac:dyDescent="0.35">
      <c r="A46" s="11" t="s">
        <v>12</v>
      </c>
      <c r="B46" s="12" t="s">
        <v>13</v>
      </c>
      <c r="C46" s="13" t="s">
        <v>14</v>
      </c>
      <c r="D46" s="109">
        <f>E46+F46+G46+H46+I46</f>
        <v>443.07145941669955</v>
      </c>
      <c r="E46" s="110">
        <f>(E58-E47*E51)/(E49/1000*6)</f>
        <v>94.917632426903594</v>
      </c>
      <c r="F46" s="110">
        <f>(F58-F47*F51)/(F49/1000*6)</f>
        <v>7.101409667037772</v>
      </c>
      <c r="G46" s="110">
        <f>(G58-G47*G51)/(G49/1000*6)</f>
        <v>108.45166025128279</v>
      </c>
      <c r="H46" s="110">
        <f>(H58-H47*H51)/(H49/1000*6)</f>
        <v>53.335957071475356</v>
      </c>
      <c r="I46" s="630">
        <v>179.26480000000001</v>
      </c>
      <c r="J46" s="631"/>
      <c r="K46" s="111">
        <f>L46+M46+N46+O46+P46</f>
        <v>483.2639588763451</v>
      </c>
      <c r="L46" s="112">
        <f>(L58-L47*L51)/(L49/1000*6)</f>
        <v>104.65641942433926</v>
      </c>
      <c r="M46" s="112">
        <f>(M58-M47*M51)/(M49/1000*6)</f>
        <v>7.1013969770756908</v>
      </c>
      <c r="N46" s="112">
        <f>(N58-N47*N51)/(N49/1000*6)</f>
        <v>121.97808450111933</v>
      </c>
      <c r="O46" s="112">
        <f>(O58-O47*O51)/(O49/1000*6)</f>
        <v>62.500557973810743</v>
      </c>
      <c r="P46" s="630">
        <v>187.0275</v>
      </c>
      <c r="Q46" s="631"/>
      <c r="R46" s="113">
        <f>(D46+K46)/2</f>
        <v>463.16770914652233</v>
      </c>
      <c r="S46" s="114"/>
      <c r="T46" s="114"/>
      <c r="U46" s="114"/>
      <c r="V46" s="114"/>
      <c r="W46" s="115">
        <f>(I46+P46)/2</f>
        <v>183.14615000000001</v>
      </c>
      <c r="Y46" s="108" t="s">
        <v>45</v>
      </c>
      <c r="Z46" s="108">
        <f>W58/W47</f>
        <v>1917.2599726440071</v>
      </c>
    </row>
    <row r="47" spans="1:26" ht="19.5" hidden="1" thickBot="1" x14ac:dyDescent="0.35">
      <c r="A47" s="11" t="s">
        <v>15</v>
      </c>
      <c r="B47" s="12" t="s">
        <v>16</v>
      </c>
      <c r="C47" s="13" t="s">
        <v>17</v>
      </c>
      <c r="D47" s="14">
        <f>E47+F47+G47+H47+I47+J47</f>
        <v>1370.1385898776809</v>
      </c>
      <c r="E47" s="16">
        <v>405.38310907746302</v>
      </c>
      <c r="F47" s="16">
        <v>22.184519584851092</v>
      </c>
      <c r="G47" s="16">
        <f>350.944237371612-2-30</f>
        <v>318.94423737161202</v>
      </c>
      <c r="H47" s="16">
        <f>219.046723843755-20-12</f>
        <v>187.04672384375499</v>
      </c>
      <c r="I47" s="16">
        <f>263.43+9.79+2.39+0.94+2.19</f>
        <v>278.74</v>
      </c>
      <c r="J47" s="116">
        <f>15.26+142.58</f>
        <v>157.84</v>
      </c>
      <c r="K47" s="111">
        <f>L47+M47+N47+O47+P47+Q47</f>
        <v>1511.1321898776812</v>
      </c>
      <c r="L47" s="16">
        <f>494.083109077463-70-17.16-2.09-9-0.12+3.34+43.78+0.67+3.45+0.02</f>
        <v>446.97310907746294</v>
      </c>
      <c r="M47" s="16">
        <v>22.184519584851092</v>
      </c>
      <c r="N47" s="16">
        <f>270.944237371612+8.6+10.96+70+10-43.78+2+30</f>
        <v>358.72423737161205</v>
      </c>
      <c r="O47" s="16">
        <f>201.746723843755-0.1+9-20+20+12-3.45-0.01</f>
        <v>219.18672384375503</v>
      </c>
      <c r="P47" s="16">
        <f>292.3142+17.3335</f>
        <v>309.64770000000004</v>
      </c>
      <c r="Q47" s="117">
        <f>14.7559+139.66</f>
        <v>154.41589999999999</v>
      </c>
      <c r="R47" s="113">
        <f>D47+K47</f>
        <v>2881.2707797553621</v>
      </c>
      <c r="S47" s="114"/>
      <c r="T47" s="114"/>
      <c r="U47" s="114"/>
      <c r="V47" s="114"/>
      <c r="W47" s="118">
        <f>I47+J47+P47+Q47</f>
        <v>900.64360000000011</v>
      </c>
      <c r="X47" s="119">
        <f>R47-W47</f>
        <v>1980.627179755362</v>
      </c>
    </row>
    <row r="48" spans="1:26" ht="16.5" hidden="1" thickBot="1" x14ac:dyDescent="0.3">
      <c r="A48" s="23"/>
      <c r="B48" s="24"/>
      <c r="C48" s="25"/>
      <c r="D48" s="26"/>
      <c r="E48" s="27"/>
      <c r="F48" s="27"/>
      <c r="G48" s="27"/>
      <c r="H48" s="27"/>
      <c r="I48" s="27"/>
      <c r="J48" s="120"/>
      <c r="K48" s="26"/>
      <c r="L48" s="27"/>
      <c r="M48" s="27"/>
      <c r="N48" s="27"/>
      <c r="O48" s="27"/>
      <c r="P48" s="28"/>
      <c r="Q48" s="30"/>
      <c r="R48" s="26"/>
      <c r="S48" s="29"/>
      <c r="T48" s="29"/>
      <c r="U48" s="29"/>
      <c r="V48" s="29"/>
      <c r="W48" s="30"/>
    </row>
    <row r="49" spans="1:23" ht="16.5" hidden="1" thickBot="1" x14ac:dyDescent="0.3">
      <c r="A49" s="31" t="s">
        <v>18</v>
      </c>
      <c r="B49" s="32" t="s">
        <v>19</v>
      </c>
      <c r="C49" s="13" t="s">
        <v>20</v>
      </c>
      <c r="D49" s="33"/>
      <c r="E49" s="34">
        <v>534943.66</v>
      </c>
      <c r="F49" s="34">
        <v>475617.7</v>
      </c>
      <c r="G49" s="34">
        <v>694515.32</v>
      </c>
      <c r="H49" s="34">
        <v>1044850.05</v>
      </c>
      <c r="I49" s="34"/>
      <c r="J49" s="121"/>
      <c r="K49" s="33"/>
      <c r="L49" s="34">
        <v>575064.43000000005</v>
      </c>
      <c r="M49" s="34">
        <v>511289.03</v>
      </c>
      <c r="N49" s="34">
        <v>746603.97</v>
      </c>
      <c r="O49" s="34">
        <v>1123213.8</v>
      </c>
      <c r="P49" s="35">
        <v>0</v>
      </c>
      <c r="Q49" s="37"/>
      <c r="R49" s="33"/>
      <c r="S49" s="38"/>
      <c r="T49" s="38"/>
      <c r="U49" s="38"/>
      <c r="V49" s="38"/>
      <c r="W49" s="39"/>
    </row>
    <row r="50" spans="1:23" ht="16.5" hidden="1" thickBot="1" x14ac:dyDescent="0.3">
      <c r="A50" s="31"/>
      <c r="B50" s="32"/>
      <c r="C50" s="13"/>
      <c r="D50" s="33"/>
      <c r="E50" s="40">
        <v>100</v>
      </c>
      <c r="F50" s="40">
        <v>100</v>
      </c>
      <c r="G50" s="40">
        <v>100</v>
      </c>
      <c r="H50" s="40">
        <v>100</v>
      </c>
      <c r="I50" s="122"/>
      <c r="J50" s="123"/>
      <c r="K50" s="43"/>
      <c r="L50" s="40">
        <f>L49/E49*100</f>
        <v>107.49999915878992</v>
      </c>
      <c r="M50" s="40">
        <f>M49/F49*100</f>
        <v>107.50000052563225</v>
      </c>
      <c r="N50" s="40">
        <f>N49/G49*100</f>
        <v>107.5000001439853</v>
      </c>
      <c r="O50" s="40">
        <f>O49/H49*100</f>
        <v>107.49999964109682</v>
      </c>
      <c r="P50" s="41"/>
      <c r="Q50" s="44"/>
      <c r="R50" s="33"/>
      <c r="S50" s="38"/>
      <c r="T50" s="38"/>
      <c r="U50" s="38"/>
      <c r="V50" s="38"/>
      <c r="W50" s="39"/>
    </row>
    <row r="51" spans="1:23" ht="32.25" hidden="1" thickBot="1" x14ac:dyDescent="0.3">
      <c r="A51" s="31" t="s">
        <v>21</v>
      </c>
      <c r="B51" s="32" t="s">
        <v>22</v>
      </c>
      <c r="C51" s="13" t="s">
        <v>23</v>
      </c>
      <c r="D51" s="33"/>
      <c r="E51" s="34">
        <v>109.05</v>
      </c>
      <c r="F51" s="34">
        <v>203.4</v>
      </c>
      <c r="G51" s="34">
        <v>381.42</v>
      </c>
      <c r="H51" s="34">
        <v>759.22</v>
      </c>
      <c r="I51" s="34">
        <v>2201.2199999999998</v>
      </c>
      <c r="J51" s="121">
        <v>1175.79</v>
      </c>
      <c r="K51" s="33"/>
      <c r="L51" s="34">
        <v>116.68</v>
      </c>
      <c r="M51" s="34">
        <v>217.64</v>
      </c>
      <c r="N51" s="34">
        <v>408.12</v>
      </c>
      <c r="O51" s="34">
        <v>812.37</v>
      </c>
      <c r="P51" s="35">
        <v>2365.48</v>
      </c>
      <c r="Q51" s="37">
        <v>1263.78</v>
      </c>
      <c r="R51" s="33"/>
      <c r="S51" s="38"/>
      <c r="T51" s="38"/>
      <c r="U51" s="38"/>
      <c r="V51" s="38"/>
      <c r="W51" s="39"/>
    </row>
    <row r="52" spans="1:23" ht="16.5" hidden="1" thickBot="1" x14ac:dyDescent="0.3">
      <c r="A52" s="31"/>
      <c r="B52" s="32"/>
      <c r="C52" s="13" t="s">
        <v>23</v>
      </c>
      <c r="D52" s="33"/>
      <c r="E52" s="40">
        <v>100</v>
      </c>
      <c r="F52" s="40">
        <v>100</v>
      </c>
      <c r="G52" s="40">
        <v>100</v>
      </c>
      <c r="H52" s="40">
        <v>100</v>
      </c>
      <c r="I52" s="40">
        <v>100</v>
      </c>
      <c r="J52" s="52">
        <v>100</v>
      </c>
      <c r="K52" s="33"/>
      <c r="L52" s="40">
        <f t="shared" ref="L52:Q52" si="1">L51/E51*100</f>
        <v>106.99679046309033</v>
      </c>
      <c r="M52" s="40">
        <f t="shared" si="1"/>
        <v>107.00098328416911</v>
      </c>
      <c r="N52" s="40">
        <f t="shared" si="1"/>
        <v>107.00015730690578</v>
      </c>
      <c r="O52" s="40">
        <f t="shared" si="1"/>
        <v>107.00060588498721</v>
      </c>
      <c r="P52" s="124">
        <f t="shared" si="1"/>
        <v>107.46222549313565</v>
      </c>
      <c r="Q52" s="52">
        <f t="shared" si="1"/>
        <v>107.48347919271299</v>
      </c>
      <c r="R52" s="33"/>
      <c r="S52" s="38"/>
      <c r="T52" s="38"/>
      <c r="U52" s="38"/>
      <c r="V52" s="38"/>
      <c r="W52" s="39"/>
    </row>
    <row r="53" spans="1:23" ht="16.5" hidden="1" thickBot="1" x14ac:dyDescent="0.3">
      <c r="A53" s="31" t="s">
        <v>25</v>
      </c>
      <c r="B53" s="32" t="s">
        <v>26</v>
      </c>
      <c r="C53" s="96"/>
      <c r="D53" s="97">
        <f>D58/D47</f>
        <v>1622.2817234660674</v>
      </c>
      <c r="E53" s="34">
        <v>860.57</v>
      </c>
      <c r="F53" s="34">
        <v>1116.8900000000001</v>
      </c>
      <c r="G53" s="34">
        <v>1798.37</v>
      </c>
      <c r="H53" s="34">
        <v>2546.84</v>
      </c>
      <c r="I53" s="34">
        <f>I51</f>
        <v>2201.2199999999998</v>
      </c>
      <c r="J53" s="37">
        <f>J51</f>
        <v>1175.79</v>
      </c>
      <c r="K53" s="97">
        <f>K58/K47</f>
        <v>1759.9867653175636</v>
      </c>
      <c r="L53" s="34">
        <v>924.57</v>
      </c>
      <c r="M53" s="34">
        <v>1199.6400000000001</v>
      </c>
      <c r="N53" s="34">
        <v>1931.34</v>
      </c>
      <c r="O53" s="34">
        <v>2734.06</v>
      </c>
      <c r="P53" s="35">
        <f>P51</f>
        <v>2365.48</v>
      </c>
      <c r="Q53" s="37">
        <f>Q51</f>
        <v>1263.78</v>
      </c>
      <c r="R53" s="97">
        <f>R58/R47</f>
        <v>1694.5035093920389</v>
      </c>
      <c r="S53" s="98"/>
      <c r="T53" s="98"/>
      <c r="U53" s="98"/>
      <c r="V53" s="98"/>
      <c r="W53" s="39"/>
    </row>
    <row r="54" spans="1:23" ht="24" hidden="1" thickBot="1" x14ac:dyDescent="0.3">
      <c r="A54" s="33"/>
      <c r="B54" s="50" t="s">
        <v>27</v>
      </c>
      <c r="C54" s="39"/>
      <c r="D54" s="33"/>
      <c r="E54" s="40">
        <v>100</v>
      </c>
      <c r="F54" s="40">
        <v>100</v>
      </c>
      <c r="G54" s="40">
        <v>100</v>
      </c>
      <c r="H54" s="40">
        <v>100</v>
      </c>
      <c r="I54" s="40">
        <v>100</v>
      </c>
      <c r="J54" s="52">
        <v>100</v>
      </c>
      <c r="K54" s="99">
        <v>1.0595988214208163</v>
      </c>
      <c r="L54" s="40">
        <f t="shared" ref="L54:Q54" si="2">L53/E53*100</f>
        <v>107.43693133620739</v>
      </c>
      <c r="M54" s="40">
        <f t="shared" si="2"/>
        <v>107.40896596800043</v>
      </c>
      <c r="N54" s="40">
        <f t="shared" si="2"/>
        <v>107.39391782558651</v>
      </c>
      <c r="O54" s="40">
        <f t="shared" si="2"/>
        <v>107.35107034599739</v>
      </c>
      <c r="P54" s="124">
        <f t="shared" si="2"/>
        <v>107.46222549313565</v>
      </c>
      <c r="Q54" s="52">
        <f t="shared" si="2"/>
        <v>107.48347919271299</v>
      </c>
      <c r="R54" s="125"/>
      <c r="S54" s="126"/>
      <c r="T54" s="126"/>
      <c r="U54" s="126"/>
      <c r="V54" s="126"/>
      <c r="W54" s="127"/>
    </row>
    <row r="55" spans="1:23" ht="16.5" hidden="1" thickBot="1" x14ac:dyDescent="0.3">
      <c r="A55" s="103">
        <v>6</v>
      </c>
      <c r="B55" s="32" t="s">
        <v>28</v>
      </c>
      <c r="C55" s="13" t="s">
        <v>29</v>
      </c>
      <c r="D55" s="14">
        <f>SUM(E55:J55)</f>
        <v>2222750.7929741316</v>
      </c>
      <c r="E55" s="58">
        <f>E46*E49*6/1000+E47*E51</f>
        <v>348860.54217879236</v>
      </c>
      <c r="F55" s="58">
        <f>F46*F49*6/1000+F47*F51</f>
        <v>24777.668079124342</v>
      </c>
      <c r="G55" s="58">
        <f>G46*G49*6/1000+G47*G51</f>
        <v>573579.74816198589</v>
      </c>
      <c r="H55" s="58">
        <f>H46*H49*6/1000+H47*H51</f>
        <v>476378.07815422898</v>
      </c>
      <c r="I55" s="58">
        <f>I47*I51</f>
        <v>613568.06279999996</v>
      </c>
      <c r="J55" s="61">
        <f>J47*J51</f>
        <v>185586.6936</v>
      </c>
      <c r="K55" s="128">
        <f>SUM(L55:Q55)</f>
        <v>2659572.6548300665</v>
      </c>
      <c r="L55" s="16">
        <f>L46*L49*6/1000+L47*L51</f>
        <v>413257.92745974992</v>
      </c>
      <c r="M55" s="16">
        <f>M46*M49*6/1000+M47*M51</f>
        <v>26613.437074770762</v>
      </c>
      <c r="N55" s="16">
        <f>N46*N49*6/1000+N47*N51</f>
        <v>692818.46860528924</v>
      </c>
      <c r="O55" s="16">
        <f>O46*O49*6/1000+O47*O51</f>
        <v>599269.65419225686</v>
      </c>
      <c r="P55" s="129">
        <f>P47*P51</f>
        <v>732465.4413960001</v>
      </c>
      <c r="Q55" s="130">
        <f>Q47*Q51</f>
        <v>195147.72610199999</v>
      </c>
      <c r="R55" s="57">
        <f>D55+K55</f>
        <v>4882323.4478041977</v>
      </c>
      <c r="S55" s="62"/>
      <c r="T55" s="62"/>
      <c r="U55" s="62"/>
      <c r="V55" s="62"/>
      <c r="W55" s="61">
        <f>I55+J55+P55+Q55</f>
        <v>1726767.9238980003</v>
      </c>
    </row>
    <row r="56" spans="1:23" ht="16.5" hidden="1" thickBot="1" x14ac:dyDescent="0.3">
      <c r="A56" s="131"/>
      <c r="B56" s="132" t="s">
        <v>46</v>
      </c>
      <c r="C56" s="133"/>
      <c r="D56" s="134">
        <f>SUM(E56:J56)</f>
        <v>1111215.3525507394</v>
      </c>
      <c r="E56" s="135">
        <f>E46*E49*6/1000</f>
        <v>304653.51413389499</v>
      </c>
      <c r="F56" s="135">
        <f>F46*F49*6/1000</f>
        <v>20265.336795565629</v>
      </c>
      <c r="G56" s="135">
        <f>G46*G49*6/1000</f>
        <v>451928.03714370559</v>
      </c>
      <c r="H56" s="135">
        <f>H46*H49*6/1000</f>
        <v>334368.46447757329</v>
      </c>
      <c r="I56" s="135"/>
      <c r="J56" s="136"/>
      <c r="K56" s="134">
        <f>SUM(L56:Q56)</f>
        <v>1350515.1715174078</v>
      </c>
      <c r="L56" s="135">
        <f>L46*L49*6/1000</f>
        <v>361105.10509259155</v>
      </c>
      <c r="M56" s="135">
        <f>M46*M49*6/1000</f>
        <v>21785.198232323772</v>
      </c>
      <c r="N56" s="135">
        <f>N46*N49*6/1000</f>
        <v>546415.93284918694</v>
      </c>
      <c r="O56" s="135">
        <f>O46*O49*6/1000</f>
        <v>421208.93534330558</v>
      </c>
      <c r="P56" s="137"/>
      <c r="Q56" s="138"/>
      <c r="R56" s="139"/>
      <c r="S56" s="140"/>
      <c r="T56" s="140"/>
      <c r="U56" s="140"/>
      <c r="V56" s="140"/>
      <c r="W56" s="136"/>
    </row>
    <row r="57" spans="1:23" ht="16.5" hidden="1" thickBot="1" x14ac:dyDescent="0.3">
      <c r="A57" s="131"/>
      <c r="B57" s="132" t="s">
        <v>47</v>
      </c>
      <c r="C57" s="133"/>
      <c r="D57" s="134">
        <f>SUM(E57:J57)</f>
        <v>312380.68402339198</v>
      </c>
      <c r="E57" s="135">
        <f>E47*E51</f>
        <v>44207.028044897343</v>
      </c>
      <c r="F57" s="135">
        <f>F47*F51</f>
        <v>4512.3312835587121</v>
      </c>
      <c r="G57" s="135">
        <f>G47*G51</f>
        <v>121651.71101828026</v>
      </c>
      <c r="H57" s="135">
        <f>H47*H51</f>
        <v>142009.61367665566</v>
      </c>
      <c r="I57" s="135"/>
      <c r="J57" s="135"/>
      <c r="K57" s="134">
        <f>SUM(L57:Q57)</f>
        <v>381444.31581465894</v>
      </c>
      <c r="L57" s="135">
        <f>L47*L51</f>
        <v>52152.822367158376</v>
      </c>
      <c r="M57" s="135">
        <f>M47*M51</f>
        <v>4828.2388424469909</v>
      </c>
      <c r="N57" s="135">
        <f>N47*N51</f>
        <v>146402.5357561023</v>
      </c>
      <c r="O57" s="135">
        <f>O47*O51</f>
        <v>178060.71884895128</v>
      </c>
      <c r="P57" s="135"/>
      <c r="Q57" s="135"/>
      <c r="R57" s="139"/>
      <c r="S57" s="140"/>
      <c r="T57" s="140"/>
      <c r="U57" s="140"/>
      <c r="V57" s="140"/>
      <c r="W57" s="136"/>
    </row>
    <row r="58" spans="1:23" ht="16.5" hidden="1" thickBot="1" x14ac:dyDescent="0.3">
      <c r="A58" s="104">
        <v>7</v>
      </c>
      <c r="B58" s="65" t="s">
        <v>30</v>
      </c>
      <c r="C58" s="66" t="s">
        <v>29</v>
      </c>
      <c r="D58" s="141">
        <f>SUM(E58:J58)</f>
        <v>2222750.7929741316</v>
      </c>
      <c r="E58" s="68">
        <f t="shared" ref="E58:J58" si="3">E47*E53</f>
        <v>348860.54217879236</v>
      </c>
      <c r="F58" s="68">
        <f t="shared" si="3"/>
        <v>24777.668079124338</v>
      </c>
      <c r="G58" s="68">
        <f t="shared" si="3"/>
        <v>573579.74816198589</v>
      </c>
      <c r="H58" s="68">
        <f t="shared" si="3"/>
        <v>476378.07815422898</v>
      </c>
      <c r="I58" s="68">
        <f t="shared" si="3"/>
        <v>613568.06279999996</v>
      </c>
      <c r="J58" s="71">
        <f t="shared" si="3"/>
        <v>185586.6936</v>
      </c>
      <c r="K58" s="142">
        <f>SUM(L58:Q58)</f>
        <v>2659572.6548300665</v>
      </c>
      <c r="L58" s="143">
        <f t="shared" ref="L58:Q58" si="4">L47*L53</f>
        <v>413257.92745974992</v>
      </c>
      <c r="M58" s="143">
        <f t="shared" si="4"/>
        <v>26613.437074770765</v>
      </c>
      <c r="N58" s="143">
        <f t="shared" si="4"/>
        <v>692818.46860528924</v>
      </c>
      <c r="O58" s="143">
        <f t="shared" si="4"/>
        <v>599269.65419225686</v>
      </c>
      <c r="P58" s="144">
        <f t="shared" si="4"/>
        <v>732465.4413960001</v>
      </c>
      <c r="Q58" s="145">
        <f t="shared" si="4"/>
        <v>195147.72610199999</v>
      </c>
      <c r="R58" s="141">
        <f>D58+K58</f>
        <v>4882323.4478041977</v>
      </c>
      <c r="S58" s="146"/>
      <c r="T58" s="146"/>
      <c r="U58" s="146"/>
      <c r="V58" s="146"/>
      <c r="W58" s="71">
        <f>I58+J58+P58+Q58</f>
        <v>1726767.9238980003</v>
      </c>
    </row>
    <row r="59" spans="1:23" ht="16.5" hidden="1" thickBot="1" x14ac:dyDescent="0.3">
      <c r="A59" s="78"/>
      <c r="B59" s="79" t="s">
        <v>32</v>
      </c>
      <c r="C59" s="80"/>
      <c r="D59" s="82">
        <f>D55-D58</f>
        <v>0</v>
      </c>
      <c r="E59" s="82">
        <f>E55-E58</f>
        <v>0</v>
      </c>
      <c r="F59" s="82">
        <f t="shared" ref="F59:W59" si="5">F55-F58</f>
        <v>0</v>
      </c>
      <c r="G59" s="82">
        <f t="shared" si="5"/>
        <v>0</v>
      </c>
      <c r="H59" s="82">
        <f t="shared" si="5"/>
        <v>0</v>
      </c>
      <c r="I59" s="82">
        <f t="shared" si="5"/>
        <v>0</v>
      </c>
      <c r="J59" s="82">
        <f t="shared" si="5"/>
        <v>0</v>
      </c>
      <c r="K59" s="82">
        <f t="shared" si="5"/>
        <v>0</v>
      </c>
      <c r="L59" s="82">
        <f t="shared" si="5"/>
        <v>0</v>
      </c>
      <c r="M59" s="82">
        <f t="shared" si="5"/>
        <v>0</v>
      </c>
      <c r="N59" s="82">
        <f t="shared" si="5"/>
        <v>0</v>
      </c>
      <c r="O59" s="82">
        <f t="shared" si="5"/>
        <v>0</v>
      </c>
      <c r="P59" s="82">
        <f t="shared" si="5"/>
        <v>0</v>
      </c>
      <c r="Q59" s="82">
        <f t="shared" si="5"/>
        <v>0</v>
      </c>
      <c r="R59" s="82">
        <f t="shared" si="5"/>
        <v>0</v>
      </c>
      <c r="S59" s="82"/>
      <c r="T59" s="82"/>
      <c r="U59" s="82"/>
      <c r="V59" s="82"/>
      <c r="W59" s="82">
        <f t="shared" si="5"/>
        <v>0</v>
      </c>
    </row>
    <row r="60" spans="1:23" ht="15.75" hidden="1" thickBot="1" x14ac:dyDescent="0.3">
      <c r="R60">
        <v>2879.46</v>
      </c>
      <c r="W60">
        <v>2842.6800000000003</v>
      </c>
    </row>
    <row r="61" spans="1:23" ht="19.5" hidden="1" thickBot="1" x14ac:dyDescent="0.35">
      <c r="B61" s="147" t="s">
        <v>48</v>
      </c>
      <c r="J61" s="148">
        <f>(I55+J55)/(I47+J47)</f>
        <v>1830.488699436529</v>
      </c>
      <c r="K61">
        <f>K53/D53</f>
        <v>1.0848835562033481</v>
      </c>
      <c r="R61">
        <v>463.02</v>
      </c>
      <c r="W61">
        <v>463.02</v>
      </c>
    </row>
    <row r="62" spans="1:23" ht="21" hidden="1" thickBot="1" x14ac:dyDescent="0.3">
      <c r="B62" s="149" t="s">
        <v>49</v>
      </c>
      <c r="C62" s="149"/>
      <c r="D62" s="149"/>
      <c r="E62" s="150">
        <f>E68/$D$68</f>
        <v>0.29369926306302852</v>
      </c>
      <c r="F62" s="150">
        <f>F68/$D$68</f>
        <v>1.5707372190124046E-2</v>
      </c>
      <c r="G62" s="150">
        <f>G68/$D$68</f>
        <v>0.23622504475041617</v>
      </c>
      <c r="H62" s="150">
        <f>H68/$D$68</f>
        <v>0.13866850301169309</v>
      </c>
      <c r="I62" s="150">
        <f>I68/$D$68</f>
        <v>0.31569981698473804</v>
      </c>
      <c r="J62" s="150"/>
      <c r="K62" s="150">
        <f>K68/$I$68</f>
        <v>0.61107939914163079</v>
      </c>
      <c r="L62" s="150">
        <f>L68/$I$68</f>
        <v>0.3889206008583691</v>
      </c>
      <c r="P62" s="151"/>
      <c r="Q62" s="152"/>
      <c r="R62" s="152"/>
      <c r="S62" s="152"/>
      <c r="T62" s="152"/>
      <c r="U62" s="152"/>
      <c r="V62" s="152"/>
    </row>
    <row r="63" spans="1:23" ht="32.25" hidden="1" thickBot="1" x14ac:dyDescent="0.3">
      <c r="B63" s="153"/>
      <c r="C63" s="153"/>
      <c r="D63" s="154" t="s">
        <v>5</v>
      </c>
      <c r="E63" s="154" t="s">
        <v>6</v>
      </c>
      <c r="F63" s="154" t="s">
        <v>7</v>
      </c>
      <c r="G63" s="154" t="s">
        <v>8</v>
      </c>
      <c r="H63" s="154" t="s">
        <v>9</v>
      </c>
      <c r="I63" s="154" t="s">
        <v>10</v>
      </c>
      <c r="J63" s="155" t="s">
        <v>50</v>
      </c>
      <c r="K63" s="155" t="s">
        <v>42</v>
      </c>
      <c r="L63" s="155" t="s">
        <v>43</v>
      </c>
    </row>
    <row r="64" spans="1:23" ht="19.5" hidden="1" thickBot="1" x14ac:dyDescent="0.3">
      <c r="B64" s="156" t="s">
        <v>51</v>
      </c>
      <c r="C64" s="157" t="s">
        <v>17</v>
      </c>
      <c r="D64" s="158">
        <f>E64+F64+G64+H64+J64+K64+L64</f>
        <v>2814.1459410000002</v>
      </c>
      <c r="E64" s="159">
        <f>[2]Структура!H6</f>
        <v>625.94525199999998</v>
      </c>
      <c r="F64" s="159">
        <f>[2]Структура!H7</f>
        <v>49.478338999999998</v>
      </c>
      <c r="G64" s="159">
        <f>[2]Структура!H8</f>
        <v>737.77198999999996</v>
      </c>
      <c r="H64" s="159">
        <f>[2]Структура!H9</f>
        <v>397.03408200000001</v>
      </c>
      <c r="I64" s="159">
        <f>J64+K64+L64</f>
        <v>1003.9162780000001</v>
      </c>
      <c r="J64" s="159">
        <f>[2]Структура!H13</f>
        <v>304.05379199999999</v>
      </c>
      <c r="K64" s="159">
        <f>[2]Структура!H11</f>
        <v>432.4880500000001</v>
      </c>
      <c r="L64" s="159">
        <f>[2]Структура!H12</f>
        <v>267.374436</v>
      </c>
    </row>
    <row r="65" spans="1:26" ht="20.25" hidden="1" thickBot="1" x14ac:dyDescent="0.3">
      <c r="B65" s="160" t="s">
        <v>52</v>
      </c>
      <c r="C65" s="161"/>
      <c r="D65" s="162"/>
      <c r="E65" s="163">
        <f t="shared" ref="E65:J65" si="6">E64/$D$64</f>
        <v>0.22242814165407918</v>
      </c>
      <c r="F65" s="163">
        <f t="shared" si="6"/>
        <v>1.7582008906907646E-2</v>
      </c>
      <c r="G65" s="163">
        <f t="shared" si="6"/>
        <v>0.26216550437246849</v>
      </c>
      <c r="H65" s="163">
        <f t="shared" si="6"/>
        <v>0.14108510728441997</v>
      </c>
      <c r="I65" s="163">
        <f t="shared" si="6"/>
        <v>0.35673923778212469</v>
      </c>
      <c r="J65" s="163">
        <f t="shared" si="6"/>
        <v>0.10804478458994034</v>
      </c>
      <c r="K65" s="163">
        <f>K64/($K$64+$L$64)</f>
        <v>0.6179614690763694</v>
      </c>
      <c r="L65" s="163">
        <f>L64/($K$64+$L$64)</f>
        <v>0.38203853092363055</v>
      </c>
      <c r="O65">
        <v>427.97230000000002</v>
      </c>
      <c r="P65">
        <v>420.08</v>
      </c>
      <c r="Q65">
        <v>424.02609999999999</v>
      </c>
    </row>
    <row r="66" spans="1:26" ht="19.5" hidden="1" thickBot="1" x14ac:dyDescent="0.3">
      <c r="B66" s="156" t="s">
        <v>53</v>
      </c>
      <c r="C66" s="157" t="s">
        <v>17</v>
      </c>
      <c r="D66" s="158">
        <f>E66+F66+G66+H66+K66+L66</f>
        <v>2839.3699165119247</v>
      </c>
      <c r="E66" s="164">
        <f>E73+L73</f>
        <v>838.6371051344297</v>
      </c>
      <c r="F66" s="164">
        <f>F73+M73</f>
        <v>44.851270668553795</v>
      </c>
      <c r="G66" s="164">
        <f>G73+N73</f>
        <v>674.5236117505201</v>
      </c>
      <c r="H66" s="164">
        <f>H73+O73</f>
        <v>395.95792895842101</v>
      </c>
      <c r="I66" s="159">
        <f>J66+K66+L66</f>
        <v>885.39999999999986</v>
      </c>
      <c r="J66" s="164"/>
      <c r="K66" s="164">
        <f>I73+P73</f>
        <v>541.04969999999992</v>
      </c>
      <c r="L66" s="164">
        <f>J73+Q73</f>
        <v>344.3503</v>
      </c>
    </row>
    <row r="67" spans="1:26" ht="20.25" hidden="1" thickBot="1" x14ac:dyDescent="0.3">
      <c r="B67" s="160" t="s">
        <v>52</v>
      </c>
      <c r="C67" s="161"/>
      <c r="D67" s="162"/>
      <c r="E67" s="163">
        <f t="shared" ref="E67:J67" si="7">E66/$D$66</f>
        <v>0.2953602840748093</v>
      </c>
      <c r="F67" s="163">
        <f t="shared" si="7"/>
        <v>1.579620549183396E-2</v>
      </c>
      <c r="G67" s="163">
        <f t="shared" si="7"/>
        <v>0.23756101937543625</v>
      </c>
      <c r="H67" s="163">
        <f t="shared" si="7"/>
        <v>0.13945274501071092</v>
      </c>
      <c r="I67" s="163">
        <f t="shared" si="7"/>
        <v>0.31182974604720948</v>
      </c>
      <c r="J67" s="165">
        <f t="shared" si="7"/>
        <v>0</v>
      </c>
      <c r="K67" s="166">
        <f>K66/$I$66</f>
        <v>0.6110793991416309</v>
      </c>
      <c r="L67" s="166">
        <f>L66/$I$66</f>
        <v>0.38892060085836916</v>
      </c>
    </row>
    <row r="68" spans="1:26" ht="19.5" hidden="1" thickBot="1" x14ac:dyDescent="0.35">
      <c r="D68" s="167">
        <f>(D92+K92)</f>
        <v>2821.3780188122819</v>
      </c>
      <c r="E68" s="152">
        <f>(E92+L92)</f>
        <v>828.63664494739464</v>
      </c>
      <c r="F68" s="152">
        <f>(F92+M92)</f>
        <v>44.316434630519311</v>
      </c>
      <c r="G68" s="152">
        <f>(G92+N92)</f>
        <v>666.48014875177182</v>
      </c>
      <c r="H68" s="152">
        <f>(H92+O92)</f>
        <v>391.23626629879561</v>
      </c>
      <c r="I68" s="152">
        <f>K68+L68</f>
        <v>890.70852418380014</v>
      </c>
      <c r="K68" s="152">
        <f>I92+P92</f>
        <v>544.29362976856532</v>
      </c>
      <c r="L68" s="152">
        <f>J92+Q92</f>
        <v>346.41489441523476</v>
      </c>
      <c r="M68">
        <v>23.119519584851098</v>
      </c>
      <c r="N68" s="168">
        <v>368.92423737161204</v>
      </c>
      <c r="O68">
        <v>197.92669408839282</v>
      </c>
      <c r="P68">
        <v>312.19270000000006</v>
      </c>
      <c r="Q68">
        <v>157.97189999999998</v>
      </c>
      <c r="R68" s="169">
        <v>2818.0699999999997</v>
      </c>
      <c r="S68" s="152"/>
      <c r="T68">
        <f>S68/6</f>
        <v>0</v>
      </c>
    </row>
    <row r="69" spans="1:26" ht="27.75" hidden="1" thickBot="1" x14ac:dyDescent="0.3">
      <c r="A69" s="170" t="s">
        <v>54</v>
      </c>
      <c r="B69" s="171"/>
      <c r="C69" s="171"/>
      <c r="D69" s="171"/>
      <c r="E69" s="171"/>
      <c r="F69" s="171"/>
      <c r="G69" s="171"/>
      <c r="H69" s="171"/>
      <c r="I69" s="171"/>
      <c r="J69" s="171"/>
      <c r="K69" s="172" t="s">
        <v>55</v>
      </c>
      <c r="L69" s="173">
        <v>1.05</v>
      </c>
      <c r="M69" s="171"/>
      <c r="N69" s="171"/>
      <c r="O69" s="174" t="s">
        <v>56</v>
      </c>
      <c r="P69" s="175">
        <v>1.05</v>
      </c>
      <c r="Q69" s="171"/>
      <c r="R69" s="171"/>
      <c r="S69" s="171"/>
      <c r="T69" s="171"/>
      <c r="U69" s="171"/>
      <c r="V69" s="171"/>
      <c r="W69" s="171"/>
    </row>
    <row r="70" spans="1:26" ht="21" hidden="1" thickBot="1" x14ac:dyDescent="0.3">
      <c r="A70" s="632" t="s">
        <v>1</v>
      </c>
      <c r="B70" s="634" t="s">
        <v>2</v>
      </c>
      <c r="C70" s="636"/>
      <c r="D70" s="638" t="s">
        <v>57</v>
      </c>
      <c r="E70" s="639"/>
      <c r="F70" s="639"/>
      <c r="G70" s="639"/>
      <c r="H70" s="639"/>
      <c r="I70" s="639"/>
      <c r="J70" s="640"/>
      <c r="K70" s="638" t="s">
        <v>58</v>
      </c>
      <c r="L70" s="639"/>
      <c r="M70" s="639"/>
      <c r="N70" s="639"/>
      <c r="O70" s="639"/>
      <c r="P70" s="639"/>
      <c r="Q70" s="640"/>
      <c r="R70" s="638">
        <v>2017</v>
      </c>
      <c r="S70" s="639"/>
      <c r="T70" s="639"/>
      <c r="U70" s="639"/>
      <c r="V70" s="639"/>
      <c r="W70" s="640"/>
    </row>
    <row r="71" spans="1:26" ht="41.25" hidden="1" thickBot="1" x14ac:dyDescent="0.3">
      <c r="A71" s="633"/>
      <c r="B71" s="635"/>
      <c r="C71" s="637"/>
      <c r="D71" s="176" t="s">
        <v>5</v>
      </c>
      <c r="E71" s="177" t="s">
        <v>6</v>
      </c>
      <c r="F71" s="177" t="s">
        <v>7</v>
      </c>
      <c r="G71" s="177" t="s">
        <v>8</v>
      </c>
      <c r="H71" s="177" t="s">
        <v>9</v>
      </c>
      <c r="I71" s="178" t="s">
        <v>42</v>
      </c>
      <c r="J71" s="179" t="s">
        <v>43</v>
      </c>
      <c r="K71" s="176" t="s">
        <v>5</v>
      </c>
      <c r="L71" s="177" t="s">
        <v>6</v>
      </c>
      <c r="M71" s="177" t="s">
        <v>7</v>
      </c>
      <c r="N71" s="177" t="s">
        <v>8</v>
      </c>
      <c r="O71" s="177" t="s">
        <v>9</v>
      </c>
      <c r="P71" s="178" t="s">
        <v>42</v>
      </c>
      <c r="Q71" s="180" t="s">
        <v>43</v>
      </c>
      <c r="R71" s="176" t="s">
        <v>5</v>
      </c>
      <c r="S71" s="177" t="s">
        <v>6</v>
      </c>
      <c r="T71" s="177" t="s">
        <v>7</v>
      </c>
      <c r="U71" s="177" t="s">
        <v>8</v>
      </c>
      <c r="V71" s="177" t="s">
        <v>9</v>
      </c>
      <c r="W71" s="180" t="s">
        <v>59</v>
      </c>
      <c r="Y71" s="108" t="s">
        <v>44</v>
      </c>
      <c r="Z71" s="108">
        <f>(R83-W83)/(R73-W73)</f>
        <v>1681.9198202043899</v>
      </c>
    </row>
    <row r="72" spans="1:26" ht="41.25" hidden="1" thickBot="1" x14ac:dyDescent="0.3">
      <c r="A72" s="181" t="s">
        <v>12</v>
      </c>
      <c r="B72" s="182" t="s">
        <v>13</v>
      </c>
      <c r="C72" s="183" t="s">
        <v>14</v>
      </c>
      <c r="D72" s="184">
        <f>E72+F72+G72+H72+I72</f>
        <v>427.97230161659002</v>
      </c>
      <c r="E72" s="185">
        <f>E81/(E74/1000*6)</f>
        <v>107.90194240238236</v>
      </c>
      <c r="F72" s="185">
        <f>F81/(F74/1000*6)</f>
        <v>7.173141723498496</v>
      </c>
      <c r="G72" s="185">
        <f>G81/(G74/1000*6)</f>
        <v>116.52958377851273</v>
      </c>
      <c r="H72" s="185">
        <f>H81/(H74/1000*6)</f>
        <v>56.171641056004965</v>
      </c>
      <c r="I72" s="641">
        <v>140.19599265619149</v>
      </c>
      <c r="J72" s="642"/>
      <c r="K72" s="186">
        <f>L72+M72+N72+O72+P72</f>
        <v>420.08001270658463</v>
      </c>
      <c r="L72" s="185">
        <v>88.460556453341354</v>
      </c>
      <c r="M72" s="185">
        <v>7.184017408365996</v>
      </c>
      <c r="N72" s="185">
        <v>112.83071458034078</v>
      </c>
      <c r="O72" s="185">
        <v>56.73479349660159</v>
      </c>
      <c r="P72" s="641">
        <v>154.86993076793487</v>
      </c>
      <c r="Q72" s="642"/>
      <c r="R72" s="187">
        <f>(D72+K72)/2</f>
        <v>424.02615716158732</v>
      </c>
      <c r="S72" s="188">
        <f>(I72+P72)/2</f>
        <v>147.53296171206318</v>
      </c>
      <c r="T72" s="189">
        <f>(F72+M72)/2</f>
        <v>7.178579565932246</v>
      </c>
      <c r="U72" s="189">
        <f>(G72+N72)/2</f>
        <v>114.68014917942676</v>
      </c>
      <c r="V72" s="189">
        <f>(H72+O72)/2</f>
        <v>56.453217276303278</v>
      </c>
      <c r="W72" s="189">
        <f>(I72+P72)/2</f>
        <v>147.53296171206318</v>
      </c>
      <c r="Y72" s="108" t="s">
        <v>45</v>
      </c>
      <c r="Z72" s="108">
        <f>W83/W73</f>
        <v>2000.1372233340865</v>
      </c>
    </row>
    <row r="73" spans="1:26" ht="41.25" hidden="1" thickBot="1" x14ac:dyDescent="0.3">
      <c r="A73" s="181" t="s">
        <v>15</v>
      </c>
      <c r="B73" s="190" t="s">
        <v>16</v>
      </c>
      <c r="C73" s="183" t="s">
        <v>17</v>
      </c>
      <c r="D73" s="191">
        <f>E73+F73+G73+H73+I73+J73</f>
        <v>1443.6302172454964</v>
      </c>
      <c r="E73" s="192">
        <v>460.83428934769967</v>
      </c>
      <c r="F73" s="193">
        <v>22.408647701792713</v>
      </c>
      <c r="G73" s="193">
        <v>342.70079123758302</v>
      </c>
      <c r="H73" s="193">
        <v>196.991488958421</v>
      </c>
      <c r="I73" s="194">
        <f>420.695-J73</f>
        <v>248.5341</v>
      </c>
      <c r="J73" s="195">
        <f>13.6061+158.5548</f>
        <v>172.1609</v>
      </c>
      <c r="K73" s="191">
        <f>L73+M73+N73+O73+P73+Q73</f>
        <v>1395.7396992664283</v>
      </c>
      <c r="L73" s="192">
        <v>377.80281578673009</v>
      </c>
      <c r="M73" s="193">
        <v>22.442622966761082</v>
      </c>
      <c r="N73" s="193">
        <v>331.82282051293703</v>
      </c>
      <c r="O73" s="193">
        <v>198.96644000000001</v>
      </c>
      <c r="P73" s="194">
        <v>292.51559999999995</v>
      </c>
      <c r="Q73" s="196">
        <v>172.18940000000001</v>
      </c>
      <c r="R73" s="197">
        <f>D73+K73</f>
        <v>2839.3699165119247</v>
      </c>
      <c r="S73" s="198">
        <v>885.40946168239554</v>
      </c>
      <c r="T73" s="199">
        <f>F73+M73</f>
        <v>44.851270668553795</v>
      </c>
      <c r="U73" s="199">
        <f>G73+N73</f>
        <v>674.5236117505201</v>
      </c>
      <c r="V73" s="199">
        <f>H73+O73</f>
        <v>395.95792895842101</v>
      </c>
      <c r="W73" s="199">
        <f>I73+P73+J73+Q73</f>
        <v>885.39999999999986</v>
      </c>
      <c r="X73" s="119"/>
      <c r="Y73" s="108"/>
      <c r="Z73" s="108"/>
    </row>
    <row r="74" spans="1:26" ht="21" hidden="1" thickBot="1" x14ac:dyDescent="0.3">
      <c r="A74" s="200" t="s">
        <v>18</v>
      </c>
      <c r="B74" s="201" t="s">
        <v>19</v>
      </c>
      <c r="C74" s="183" t="s">
        <v>20</v>
      </c>
      <c r="D74" s="202">
        <f>D81/D72/6*1000</f>
        <v>684853.48272420466</v>
      </c>
      <c r="E74" s="203">
        <v>575064.43000000005</v>
      </c>
      <c r="F74" s="203">
        <v>511289.03</v>
      </c>
      <c r="G74" s="203">
        <v>746603.97</v>
      </c>
      <c r="H74" s="203">
        <v>1123213.8</v>
      </c>
      <c r="I74" s="204">
        <v>0</v>
      </c>
      <c r="J74" s="205"/>
      <c r="K74" s="202">
        <f>K81/K72/6*1000</f>
        <v>723777.53091386682</v>
      </c>
      <c r="L74" s="203">
        <v>600332.80000000005</v>
      </c>
      <c r="M74" s="203">
        <v>534149.81999999995</v>
      </c>
      <c r="N74" s="203">
        <v>779053.01</v>
      </c>
      <c r="O74" s="203">
        <v>1156534.1599999999</v>
      </c>
      <c r="P74" s="206"/>
      <c r="Q74" s="207"/>
      <c r="R74" s="208">
        <f>R81/R72/12*1000</f>
        <v>704134.38601512334</v>
      </c>
      <c r="S74" s="208">
        <f>S81/S72/12*1000</f>
        <v>390271.40374897345</v>
      </c>
      <c r="T74" s="208">
        <f>T81/T72/12*1000</f>
        <v>522720.9839905338</v>
      </c>
      <c r="U74" s="208">
        <f>U81/U72/12*1000</f>
        <v>762566.24338611995</v>
      </c>
      <c r="V74" s="208">
        <f>V81/V72/12*1000</f>
        <v>1139966.6772724835</v>
      </c>
      <c r="W74" s="209"/>
      <c r="Y74" s="108"/>
      <c r="Z74" s="108"/>
    </row>
    <row r="75" spans="1:26" ht="21" hidden="1" thickBot="1" x14ac:dyDescent="0.3">
      <c r="A75" s="200"/>
      <c r="B75" s="201"/>
      <c r="C75" s="183"/>
      <c r="D75" s="202"/>
      <c r="E75" s="210">
        <v>100</v>
      </c>
      <c r="F75" s="210">
        <v>100</v>
      </c>
      <c r="G75" s="210">
        <v>100</v>
      </c>
      <c r="H75" s="210">
        <v>100</v>
      </c>
      <c r="I75" s="211"/>
      <c r="J75" s="212"/>
      <c r="K75" s="213"/>
      <c r="L75" s="214">
        <f>L74/E74*100</f>
        <v>104.39400677242374</v>
      </c>
      <c r="M75" s="214">
        <f>M74/F74*100</f>
        <v>104.47120682405409</v>
      </c>
      <c r="N75" s="214">
        <f>N74/G74*100</f>
        <v>104.34621851796476</v>
      </c>
      <c r="O75" s="214">
        <f>O74/H74*100</f>
        <v>102.96651982018025</v>
      </c>
      <c r="P75" s="215"/>
      <c r="Q75" s="216"/>
      <c r="R75" s="217"/>
      <c r="S75" s="218"/>
      <c r="T75" s="218"/>
      <c r="U75" s="218"/>
      <c r="V75" s="218"/>
      <c r="W75" s="209"/>
      <c r="Y75" s="108"/>
      <c r="Z75" s="108"/>
    </row>
    <row r="76" spans="1:26" ht="61.5" hidden="1" thickBot="1" x14ac:dyDescent="0.3">
      <c r="A76" s="200" t="s">
        <v>21</v>
      </c>
      <c r="B76" s="201" t="s">
        <v>22</v>
      </c>
      <c r="C76" s="183" t="s">
        <v>23</v>
      </c>
      <c r="D76" s="202">
        <f>D82/D73</f>
        <v>485.09665048307386</v>
      </c>
      <c r="E76" s="203">
        <v>116.68</v>
      </c>
      <c r="F76" s="203">
        <v>217.64</v>
      </c>
      <c r="G76" s="203">
        <v>408.12</v>
      </c>
      <c r="H76" s="203">
        <v>812.37</v>
      </c>
      <c r="I76" s="203">
        <v>2365.48</v>
      </c>
      <c r="J76" s="203">
        <v>1263.78</v>
      </c>
      <c r="K76" s="202">
        <f>K82/K73</f>
        <v>554.67740278617669</v>
      </c>
      <c r="L76" s="203">
        <v>124.85</v>
      </c>
      <c r="M76" s="203">
        <v>232.88</v>
      </c>
      <c r="N76" s="203">
        <v>436.68</v>
      </c>
      <c r="O76" s="203">
        <v>869.24</v>
      </c>
      <c r="P76" s="203">
        <v>2504.29</v>
      </c>
      <c r="Q76" s="203">
        <v>1352.59</v>
      </c>
      <c r="R76" s="218">
        <f>R82/R73</f>
        <v>519.30023125974469</v>
      </c>
      <c r="S76" s="218">
        <f>S82/S73</f>
        <v>114.00242577063236</v>
      </c>
      <c r="T76" s="218">
        <f>T82/T73</f>
        <v>225.26577222261932</v>
      </c>
      <c r="U76" s="218">
        <f>U82/U73</f>
        <v>422.16970795500424</v>
      </c>
      <c r="V76" s="218">
        <f>V82/V73</f>
        <v>840.94682752449228</v>
      </c>
      <c r="W76" s="209"/>
      <c r="Y76" s="108"/>
      <c r="Z76" s="108"/>
    </row>
    <row r="77" spans="1:26" ht="21" hidden="1" thickBot="1" x14ac:dyDescent="0.3">
      <c r="A77" s="200"/>
      <c r="B77" s="201"/>
      <c r="C77" s="183" t="s">
        <v>23</v>
      </c>
      <c r="D77" s="202"/>
      <c r="E77" s="210">
        <v>100</v>
      </c>
      <c r="F77" s="210">
        <v>100</v>
      </c>
      <c r="G77" s="210">
        <v>100</v>
      </c>
      <c r="H77" s="210">
        <v>100</v>
      </c>
      <c r="I77" s="210">
        <v>100</v>
      </c>
      <c r="J77" s="219">
        <v>100</v>
      </c>
      <c r="K77" s="202"/>
      <c r="L77" s="214">
        <f t="shared" ref="L77:Q77" si="8">L76/E76*100</f>
        <v>107.00205690778195</v>
      </c>
      <c r="M77" s="214">
        <f t="shared" si="8"/>
        <v>107.00238926667893</v>
      </c>
      <c r="N77" s="214">
        <f t="shared" si="8"/>
        <v>106.99794178182887</v>
      </c>
      <c r="O77" s="214">
        <f t="shared" si="8"/>
        <v>107.00050469613601</v>
      </c>
      <c r="P77" s="220">
        <f t="shared" si="8"/>
        <v>105.86815360941542</v>
      </c>
      <c r="Q77" s="221">
        <f t="shared" si="8"/>
        <v>107.02733070629382</v>
      </c>
      <c r="R77" s="222"/>
      <c r="S77" s="223"/>
      <c r="T77" s="223"/>
      <c r="U77" s="223"/>
      <c r="V77" s="223"/>
      <c r="W77" s="209"/>
      <c r="Y77" s="108"/>
      <c r="Z77" s="108"/>
    </row>
    <row r="78" spans="1:26" ht="21.75" hidden="1" thickBot="1" x14ac:dyDescent="0.3">
      <c r="A78" s="200" t="s">
        <v>25</v>
      </c>
      <c r="B78" s="190" t="s">
        <v>26</v>
      </c>
      <c r="C78" s="224"/>
      <c r="D78" s="225">
        <f>D83/D73</f>
        <v>1703.268663386179</v>
      </c>
      <c r="E78" s="226">
        <v>924.57</v>
      </c>
      <c r="F78" s="226">
        <v>1199.6400000000001</v>
      </c>
      <c r="G78" s="226">
        <v>1931.34</v>
      </c>
      <c r="H78" s="226">
        <v>2734.06</v>
      </c>
      <c r="I78" s="226">
        <v>2365.48</v>
      </c>
      <c r="J78" s="226">
        <v>1263.78</v>
      </c>
      <c r="K78" s="225">
        <f>K83/K73</f>
        <v>1861.7025216224629</v>
      </c>
      <c r="L78" s="203">
        <v>968.23</v>
      </c>
      <c r="M78" s="203">
        <v>1258.76</v>
      </c>
      <c r="N78" s="203">
        <v>2026.1</v>
      </c>
      <c r="O78" s="203">
        <v>2847.97</v>
      </c>
      <c r="P78" s="206">
        <f>P76</f>
        <v>2504.29</v>
      </c>
      <c r="Q78" s="207">
        <f>Q76</f>
        <v>1352.59</v>
      </c>
      <c r="R78" s="227">
        <f>R83/R73</f>
        <v>1781.1494722101256</v>
      </c>
      <c r="S78" s="228"/>
      <c r="T78" s="228"/>
      <c r="U78" s="228"/>
      <c r="V78" s="228"/>
      <c r="W78" s="209"/>
      <c r="Y78" s="108"/>
      <c r="Z78" s="108"/>
    </row>
    <row r="79" spans="1:26" ht="21" hidden="1" thickBot="1" x14ac:dyDescent="0.3">
      <c r="A79" s="222"/>
      <c r="B79" s="229" t="s">
        <v>27</v>
      </c>
      <c r="C79" s="230"/>
      <c r="D79" s="231"/>
      <c r="E79" s="232">
        <v>100</v>
      </c>
      <c r="F79" s="232">
        <v>100</v>
      </c>
      <c r="G79" s="232">
        <v>100</v>
      </c>
      <c r="H79" s="232">
        <v>100</v>
      </c>
      <c r="I79" s="232">
        <v>100</v>
      </c>
      <c r="J79" s="233">
        <v>100</v>
      </c>
      <c r="K79" s="234">
        <f t="shared" ref="K79:Q79" si="9">K78/D78*100</f>
        <v>109.30175383613938</v>
      </c>
      <c r="L79" s="214">
        <f t="shared" si="9"/>
        <v>104.72219518262544</v>
      </c>
      <c r="M79" s="214">
        <f t="shared" si="9"/>
        <v>104.92814511019972</v>
      </c>
      <c r="N79" s="214">
        <f t="shared" si="9"/>
        <v>104.906438017128</v>
      </c>
      <c r="O79" s="214">
        <f t="shared" si="9"/>
        <v>104.16633138994756</v>
      </c>
      <c r="P79" s="220">
        <f t="shared" si="9"/>
        <v>105.86815360941542</v>
      </c>
      <c r="Q79" s="221">
        <f t="shared" si="9"/>
        <v>107.02733070629382</v>
      </c>
      <c r="R79" s="235"/>
      <c r="S79" s="236"/>
      <c r="T79" s="236"/>
      <c r="U79" s="236"/>
      <c r="V79" s="236"/>
      <c r="W79" s="237"/>
      <c r="Y79" s="108"/>
      <c r="Z79" s="108"/>
    </row>
    <row r="80" spans="1:26" ht="21" hidden="1" thickBot="1" x14ac:dyDescent="0.3">
      <c r="A80" s="238">
        <v>6</v>
      </c>
      <c r="B80" s="201" t="s">
        <v>28</v>
      </c>
      <c r="C80" s="183" t="s">
        <v>29</v>
      </c>
      <c r="D80" s="239">
        <f>SUM(E80:J80)</f>
        <v>2458890.1105516357</v>
      </c>
      <c r="E80" s="240">
        <f t="shared" ref="E80:J80" si="10">E83</f>
        <v>426073.5589022027</v>
      </c>
      <c r="F80" s="240">
        <f t="shared" si="10"/>
        <v>26882.310128978614</v>
      </c>
      <c r="G80" s="240">
        <f t="shared" si="10"/>
        <v>661871.74614879361</v>
      </c>
      <c r="H80" s="240">
        <f t="shared" si="10"/>
        <v>538586.55030166055</v>
      </c>
      <c r="I80" s="240">
        <f t="shared" si="10"/>
        <v>587902.44286800001</v>
      </c>
      <c r="J80" s="240">
        <f t="shared" si="10"/>
        <v>217573.502202</v>
      </c>
      <c r="K80" s="241">
        <f>SUM(L80:Q80)</f>
        <v>2598452.1176528875</v>
      </c>
      <c r="L80" s="240">
        <f t="shared" ref="L80:Q80" si="11">L83</f>
        <v>365800.0203291857</v>
      </c>
      <c r="M80" s="240">
        <f t="shared" si="11"/>
        <v>28249.876085640179</v>
      </c>
      <c r="N80" s="240">
        <f t="shared" si="11"/>
        <v>672306.21664126171</v>
      </c>
      <c r="O80" s="240">
        <f t="shared" si="11"/>
        <v>566650.45212679997</v>
      </c>
      <c r="P80" s="240">
        <f t="shared" si="11"/>
        <v>732543.89192399988</v>
      </c>
      <c r="Q80" s="240">
        <f t="shared" si="11"/>
        <v>232901.660546</v>
      </c>
      <c r="R80" s="242">
        <f t="shared" ref="R80:V83" si="12">D80+K80</f>
        <v>5057342.2282045232</v>
      </c>
      <c r="S80" s="199">
        <f t="shared" si="12"/>
        <v>791873.5792313884</v>
      </c>
      <c r="T80" s="199">
        <f t="shared" si="12"/>
        <v>55132.186214618792</v>
      </c>
      <c r="U80" s="199">
        <f t="shared" si="12"/>
        <v>1334177.9627900552</v>
      </c>
      <c r="V80" s="199">
        <f t="shared" si="12"/>
        <v>1105237.0024284604</v>
      </c>
      <c r="W80" s="199">
        <f>I80+P80+J80+Q80</f>
        <v>1770921.4975399999</v>
      </c>
      <c r="Y80" s="108"/>
      <c r="Z80" s="108"/>
    </row>
    <row r="81" spans="1:26" ht="21" hidden="1" thickBot="1" x14ac:dyDescent="0.3">
      <c r="A81" s="243"/>
      <c r="B81" s="244" t="s">
        <v>46</v>
      </c>
      <c r="C81" s="245"/>
      <c r="D81" s="246">
        <f>SUM(E81:J81)</f>
        <v>1758589.9276296927</v>
      </c>
      <c r="E81" s="247">
        <f t="shared" ref="E81:J81" si="13">E80-E82</f>
        <v>372303.41402111307</v>
      </c>
      <c r="F81" s="247">
        <f t="shared" si="13"/>
        <v>22005.292043160447</v>
      </c>
      <c r="G81" s="247">
        <f t="shared" si="13"/>
        <v>522008.69922891119</v>
      </c>
      <c r="H81" s="247">
        <f t="shared" si="13"/>
        <v>378556.57441650808</v>
      </c>
      <c r="I81" s="247">
        <f t="shared" si="13"/>
        <v>386000.79605100001</v>
      </c>
      <c r="J81" s="247">
        <f t="shared" si="13"/>
        <v>77715.151868999994</v>
      </c>
      <c r="K81" s="246">
        <f>SUM(L81:Q81)</f>
        <v>1824266.8462982255</v>
      </c>
      <c r="L81" s="247">
        <f t="shared" ref="L81:Q81" si="14">L80-L82</f>
        <v>318631.33877821243</v>
      </c>
      <c r="M81" s="247">
        <f t="shared" si="14"/>
        <v>23023.438049140859</v>
      </c>
      <c r="N81" s="247">
        <f t="shared" si="14"/>
        <v>527405.82737967232</v>
      </c>
      <c r="O81" s="247">
        <f t="shared" si="14"/>
        <v>393700.86382119998</v>
      </c>
      <c r="P81" s="247">
        <f t="shared" si="14"/>
        <v>478277.63177999994</v>
      </c>
      <c r="Q81" s="247">
        <f t="shared" si="14"/>
        <v>83227.74648999999</v>
      </c>
      <c r="R81" s="242">
        <f t="shared" si="12"/>
        <v>3582856.7739279182</v>
      </c>
      <c r="S81" s="199">
        <f t="shared" si="12"/>
        <v>690934.75279932551</v>
      </c>
      <c r="T81" s="199">
        <f t="shared" si="12"/>
        <v>45028.73009230131</v>
      </c>
      <c r="U81" s="199">
        <f t="shared" si="12"/>
        <v>1049414.5266085835</v>
      </c>
      <c r="V81" s="199">
        <f t="shared" si="12"/>
        <v>772257.43823770806</v>
      </c>
      <c r="W81" s="248"/>
      <c r="Y81" s="108"/>
      <c r="Z81" s="108"/>
    </row>
    <row r="82" spans="1:26" ht="21" hidden="1" thickBot="1" x14ac:dyDescent="0.3">
      <c r="A82" s="243"/>
      <c r="B82" s="244" t="s">
        <v>47</v>
      </c>
      <c r="C82" s="245"/>
      <c r="D82" s="246">
        <f>SUM(E82:J82)</f>
        <v>700300.18292194256</v>
      </c>
      <c r="E82" s="247">
        <f>E73*E76</f>
        <v>53770.144881089604</v>
      </c>
      <c r="F82" s="247">
        <f>F73*F76</f>
        <v>4877.0180858181657</v>
      </c>
      <c r="G82" s="247">
        <f>G73*G76</f>
        <v>139863.04691988238</v>
      </c>
      <c r="H82" s="247">
        <f>H73*H76</f>
        <v>160029.97588515247</v>
      </c>
      <c r="I82" s="247">
        <f>I73*H76</f>
        <v>201901.646817</v>
      </c>
      <c r="J82" s="247">
        <f>J73*H76</f>
        <v>139858.35033300001</v>
      </c>
      <c r="K82" s="246">
        <f>SUM(L82:Q82)</f>
        <v>774185.27135466179</v>
      </c>
      <c r="L82" s="247">
        <f>L73*L76</f>
        <v>47168.681550973248</v>
      </c>
      <c r="M82" s="247">
        <f>M73*M76</f>
        <v>5226.4380364993203</v>
      </c>
      <c r="N82" s="247">
        <f>N73*N76</f>
        <v>144900.38926158936</v>
      </c>
      <c r="O82" s="247">
        <f>O73*O76</f>
        <v>172949.58830560002</v>
      </c>
      <c r="P82" s="247">
        <f>P73*O76</f>
        <v>254266.26014399997</v>
      </c>
      <c r="Q82" s="247">
        <f>Q73*O76</f>
        <v>149673.91405600001</v>
      </c>
      <c r="R82" s="242">
        <f t="shared" si="12"/>
        <v>1474485.4542766043</v>
      </c>
      <c r="S82" s="199">
        <f t="shared" si="12"/>
        <v>100938.82643206285</v>
      </c>
      <c r="T82" s="199">
        <f t="shared" si="12"/>
        <v>10103.456122317486</v>
      </c>
      <c r="U82" s="199">
        <f t="shared" si="12"/>
        <v>284763.43618147174</v>
      </c>
      <c r="V82" s="199">
        <f t="shared" si="12"/>
        <v>332979.56419075246</v>
      </c>
      <c r="W82" s="248"/>
      <c r="Y82" s="108"/>
      <c r="Z82" s="108"/>
    </row>
    <row r="83" spans="1:26" ht="21" hidden="1" thickBot="1" x14ac:dyDescent="0.3">
      <c r="A83" s="249">
        <v>7</v>
      </c>
      <c r="B83" s="250" t="s">
        <v>30</v>
      </c>
      <c r="C83" s="251" t="s">
        <v>29</v>
      </c>
      <c r="D83" s="239">
        <f>SUM(E83:J83)</f>
        <v>2458890.1105516357</v>
      </c>
      <c r="E83" s="252">
        <f t="shared" ref="E83:J83" si="15">E73*E78</f>
        <v>426073.5589022027</v>
      </c>
      <c r="F83" s="252">
        <f t="shared" si="15"/>
        <v>26882.310128978614</v>
      </c>
      <c r="G83" s="252">
        <f t="shared" si="15"/>
        <v>661871.74614879361</v>
      </c>
      <c r="H83" s="252">
        <f t="shared" si="15"/>
        <v>538586.55030166055</v>
      </c>
      <c r="I83" s="252">
        <f t="shared" si="15"/>
        <v>587902.44286800001</v>
      </c>
      <c r="J83" s="253">
        <f t="shared" si="15"/>
        <v>217573.502202</v>
      </c>
      <c r="K83" s="254">
        <f>SUM(L83:Q83)</f>
        <v>2598452.1176528875</v>
      </c>
      <c r="L83" s="255">
        <f t="shared" ref="L83:Q83" si="16">L73*L78</f>
        <v>365800.0203291857</v>
      </c>
      <c r="M83" s="255">
        <f t="shared" si="16"/>
        <v>28249.876085640179</v>
      </c>
      <c r="N83" s="255">
        <f t="shared" si="16"/>
        <v>672306.21664126171</v>
      </c>
      <c r="O83" s="255">
        <f t="shared" si="16"/>
        <v>566650.45212679997</v>
      </c>
      <c r="P83" s="256">
        <f t="shared" si="16"/>
        <v>732543.89192399988</v>
      </c>
      <c r="Q83" s="257">
        <f t="shared" si="16"/>
        <v>232901.660546</v>
      </c>
      <c r="R83" s="258">
        <f t="shared" si="12"/>
        <v>5057342.2282045232</v>
      </c>
      <c r="S83" s="259">
        <f t="shared" si="12"/>
        <v>791873.5792313884</v>
      </c>
      <c r="T83" s="259">
        <f t="shared" si="12"/>
        <v>55132.186214618792</v>
      </c>
      <c r="U83" s="259">
        <f t="shared" si="12"/>
        <v>1334177.9627900552</v>
      </c>
      <c r="V83" s="259">
        <f t="shared" si="12"/>
        <v>1105237.0024284604</v>
      </c>
      <c r="W83" s="199">
        <f>I83+P83+J83+Q83</f>
        <v>1770921.4975399999</v>
      </c>
      <c r="Y83" s="108"/>
      <c r="Z83" s="108"/>
    </row>
    <row r="84" spans="1:26" ht="21" hidden="1" thickBot="1" x14ac:dyDescent="0.3">
      <c r="A84" s="260"/>
      <c r="B84" s="261" t="s">
        <v>32</v>
      </c>
      <c r="C84" s="262"/>
      <c r="D84" s="263">
        <f>D80-D83</f>
        <v>0</v>
      </c>
      <c r="E84" s="263">
        <f>E80-E83</f>
        <v>0</v>
      </c>
      <c r="F84" s="263">
        <f t="shared" ref="F84:W84" si="17">F80-F83</f>
        <v>0</v>
      </c>
      <c r="G84" s="263">
        <f t="shared" si="17"/>
        <v>0</v>
      </c>
      <c r="H84" s="263">
        <f t="shared" si="17"/>
        <v>0</v>
      </c>
      <c r="I84" s="263">
        <f t="shared" si="17"/>
        <v>0</v>
      </c>
      <c r="J84" s="263">
        <f t="shared" si="17"/>
        <v>0</v>
      </c>
      <c r="K84" s="263">
        <f t="shared" si="17"/>
        <v>0</v>
      </c>
      <c r="L84" s="263">
        <f t="shared" si="17"/>
        <v>0</v>
      </c>
      <c r="M84" s="263">
        <f t="shared" si="17"/>
        <v>0</v>
      </c>
      <c r="N84" s="263">
        <f t="shared" si="17"/>
        <v>0</v>
      </c>
      <c r="O84" s="263">
        <f t="shared" si="17"/>
        <v>0</v>
      </c>
      <c r="P84" s="263">
        <f t="shared" si="17"/>
        <v>0</v>
      </c>
      <c r="Q84" s="263">
        <f t="shared" si="17"/>
        <v>0</v>
      </c>
      <c r="R84" s="263">
        <f t="shared" si="17"/>
        <v>0</v>
      </c>
      <c r="S84" s="263">
        <f t="shared" si="17"/>
        <v>0</v>
      </c>
      <c r="T84" s="263">
        <f t="shared" si="17"/>
        <v>0</v>
      </c>
      <c r="U84" s="263">
        <f t="shared" si="17"/>
        <v>0</v>
      </c>
      <c r="V84" s="263">
        <f t="shared" si="17"/>
        <v>0</v>
      </c>
      <c r="W84" s="263">
        <f t="shared" si="17"/>
        <v>0</v>
      </c>
      <c r="Y84" s="264"/>
    </row>
    <row r="85" spans="1:26" ht="21.75" hidden="1" thickBot="1" x14ac:dyDescent="0.4">
      <c r="A85" s="265"/>
      <c r="B85" s="265"/>
      <c r="C85" s="265"/>
      <c r="D85" s="265">
        <v>420.51246199472098</v>
      </c>
      <c r="E85" s="265">
        <v>87.044243622003975</v>
      </c>
      <c r="F85" s="265">
        <v>7.173141723498496</v>
      </c>
      <c r="G85" s="265">
        <v>126.22052474685502</v>
      </c>
      <c r="H85" s="265">
        <v>59.87855924617201</v>
      </c>
      <c r="I85" s="265">
        <v>140.19599265619149</v>
      </c>
      <c r="J85" s="265"/>
      <c r="K85" s="265">
        <v>435.51438237322964</v>
      </c>
      <c r="L85" s="265">
        <v>90.220470555922802</v>
      </c>
      <c r="M85" s="265">
        <v>7.1840174083659969</v>
      </c>
      <c r="N85" s="265">
        <v>126.77206825409638</v>
      </c>
      <c r="O85" s="265">
        <v>56.467895386909554</v>
      </c>
      <c r="P85" s="265">
        <v>154.86993076793487</v>
      </c>
      <c r="Q85" s="265"/>
      <c r="R85" s="266">
        <f>R83-'[3]1.3 Расчет НВВ по RAB (2022)'!N$130</f>
        <v>-116874.91213755403</v>
      </c>
      <c r="S85" s="265"/>
      <c r="T85" s="265"/>
      <c r="U85" s="265"/>
      <c r="V85" s="265"/>
      <c r="W85" s="265"/>
    </row>
    <row r="86" spans="1:26" ht="21.75" hidden="1" thickBot="1" x14ac:dyDescent="0.4">
      <c r="A86" s="265"/>
      <c r="B86" s="265"/>
      <c r="C86" s="265"/>
      <c r="D86" s="265"/>
      <c r="E86" s="265"/>
      <c r="F86" s="265"/>
      <c r="G86" s="265"/>
      <c r="H86" s="265"/>
      <c r="I86" s="265"/>
      <c r="J86" s="265"/>
      <c r="K86" s="265"/>
      <c r="L86" s="265"/>
      <c r="M86" s="265"/>
      <c r="N86" s="265"/>
      <c r="O86" s="265"/>
      <c r="P86" s="265"/>
      <c r="Q86" s="265"/>
      <c r="R86" s="266"/>
      <c r="S86" s="265"/>
      <c r="T86" s="265"/>
      <c r="U86" s="265"/>
      <c r="V86" s="265"/>
      <c r="W86" s="265"/>
    </row>
    <row r="87" spans="1:26" ht="21.75" hidden="1" thickBot="1" x14ac:dyDescent="0.4">
      <c r="D87" s="267">
        <f>SUM(E87:H87)</f>
        <v>355339.39046205318</v>
      </c>
      <c r="E87" s="267">
        <v>184921.90633686184</v>
      </c>
      <c r="F87" s="267">
        <v>9892.3635630358949</v>
      </c>
      <c r="G87" s="267">
        <v>107047.1883440247</v>
      </c>
      <c r="H87" s="267">
        <v>53477.932218130722</v>
      </c>
      <c r="I87" s="267"/>
      <c r="J87" s="267"/>
      <c r="K87" s="267">
        <f>SUM(L87:O87)</f>
        <v>368225.24322842667</v>
      </c>
      <c r="L87" s="267">
        <v>197645.1620449406</v>
      </c>
      <c r="M87" s="267">
        <v>9522.0761816741178</v>
      </c>
      <c r="N87" s="267">
        <v>97870.852080898403</v>
      </c>
      <c r="O87" s="267">
        <v>63187.152920913562</v>
      </c>
      <c r="P87" s="267"/>
      <c r="Q87" s="267"/>
    </row>
    <row r="88" spans="1:26" ht="27.75" hidden="1" customHeight="1" x14ac:dyDescent="0.25">
      <c r="A88" s="170" t="s">
        <v>60</v>
      </c>
      <c r="B88" s="171"/>
      <c r="C88" s="171"/>
      <c r="D88" s="268"/>
      <c r="E88" s="268"/>
      <c r="F88" s="268"/>
      <c r="G88" s="268"/>
      <c r="H88" s="268"/>
      <c r="I88" s="268"/>
      <c r="J88" s="268"/>
      <c r="K88" s="268"/>
      <c r="L88" s="268"/>
      <c r="M88" s="268"/>
      <c r="N88" s="268"/>
      <c r="O88" s="268"/>
      <c r="P88" s="268"/>
      <c r="Q88" s="268"/>
      <c r="R88" s="171"/>
      <c r="S88" s="171"/>
      <c r="T88" s="171"/>
      <c r="U88" s="171"/>
      <c r="V88" s="171"/>
      <c r="W88" s="171"/>
    </row>
    <row r="89" spans="1:26" ht="21" hidden="1" customHeight="1" x14ac:dyDescent="0.25">
      <c r="A89" s="617" t="s">
        <v>1</v>
      </c>
      <c r="B89" s="619" t="s">
        <v>2</v>
      </c>
      <c r="C89" s="621"/>
      <c r="D89" s="643" t="s">
        <v>61</v>
      </c>
      <c r="E89" s="644"/>
      <c r="F89" s="644"/>
      <c r="G89" s="644"/>
      <c r="H89" s="644"/>
      <c r="I89" s="644"/>
      <c r="J89" s="645"/>
      <c r="K89" s="643" t="s">
        <v>61</v>
      </c>
      <c r="L89" s="644"/>
      <c r="M89" s="644"/>
      <c r="N89" s="644"/>
      <c r="O89" s="644"/>
      <c r="P89" s="644"/>
      <c r="Q89" s="645"/>
      <c r="R89" s="623">
        <v>2018</v>
      </c>
      <c r="S89" s="624"/>
      <c r="T89" s="624"/>
      <c r="U89" s="624"/>
      <c r="V89" s="624"/>
      <c r="W89" s="625"/>
    </row>
    <row r="90" spans="1:26" ht="41.25" hidden="1" customHeight="1" x14ac:dyDescent="0.25">
      <c r="A90" s="618"/>
      <c r="B90" s="620"/>
      <c r="C90" s="622"/>
      <c r="D90" s="269" t="s">
        <v>5</v>
      </c>
      <c r="E90" s="270" t="s">
        <v>6</v>
      </c>
      <c r="F90" s="270" t="s">
        <v>7</v>
      </c>
      <c r="G90" s="270" t="s">
        <v>8</v>
      </c>
      <c r="H90" s="270" t="s">
        <v>9</v>
      </c>
      <c r="I90" s="271" t="s">
        <v>42</v>
      </c>
      <c r="J90" s="272" t="s">
        <v>43</v>
      </c>
      <c r="K90" s="269" t="s">
        <v>5</v>
      </c>
      <c r="L90" s="270" t="s">
        <v>6</v>
      </c>
      <c r="M90" s="270" t="s">
        <v>7</v>
      </c>
      <c r="N90" s="270" t="s">
        <v>8</v>
      </c>
      <c r="O90" s="270" t="s">
        <v>9</v>
      </c>
      <c r="P90" s="271" t="s">
        <v>42</v>
      </c>
      <c r="Q90" s="272" t="s">
        <v>43</v>
      </c>
      <c r="R90" s="6" t="s">
        <v>5</v>
      </c>
      <c r="S90" s="7" t="s">
        <v>6</v>
      </c>
      <c r="T90" s="7" t="s">
        <v>7</v>
      </c>
      <c r="U90" s="7" t="s">
        <v>8</v>
      </c>
      <c r="V90" s="7" t="s">
        <v>9</v>
      </c>
      <c r="W90" s="107" t="s">
        <v>62</v>
      </c>
      <c r="Y90" s="108" t="s">
        <v>44</v>
      </c>
      <c r="Z90" s="108">
        <f>(R103-W103)/(R92-W92)</f>
        <v>885.26061874047116</v>
      </c>
    </row>
    <row r="91" spans="1:26" ht="31.5" hidden="1" customHeight="1" x14ac:dyDescent="0.25">
      <c r="A91" s="11" t="s">
        <v>12</v>
      </c>
      <c r="B91" s="12" t="s">
        <v>13</v>
      </c>
      <c r="C91" s="13" t="s">
        <v>14</v>
      </c>
      <c r="D91" s="273">
        <f>E91+F91+G91+H91+I91</f>
        <v>425.3806745869818</v>
      </c>
      <c r="E91" s="274">
        <f>(E103-E92*E96)/(E94/1000*6)</f>
        <v>106.61414368802255</v>
      </c>
      <c r="F91" s="274">
        <f>(F103-F92*F96)/(F94/1000*6)</f>
        <v>7.0874161988295006</v>
      </c>
      <c r="G91" s="274">
        <f>(G103-G92*G96)/(G94/1000*6)</f>
        <v>115.13982950223021</v>
      </c>
      <c r="H91" s="274">
        <f>(H103-H92*H96)/(H94/1000*6)</f>
        <v>55.502730290197711</v>
      </c>
      <c r="I91" s="641">
        <f>(I92+J92)/(I73+J73)*I72</f>
        <v>141.03655490770183</v>
      </c>
      <c r="J91" s="658"/>
      <c r="K91" s="273">
        <f>L91+M91+N91+O91+P91</f>
        <v>81.608669081182782</v>
      </c>
      <c r="L91" s="274">
        <f>(L103-L92*L96)/(L94/1000*6)</f>
        <v>-18.174035146543719</v>
      </c>
      <c r="M91" s="274">
        <f>(M103-M92*M96)/(M94/1000*6)</f>
        <v>-1.5927136360408234</v>
      </c>
      <c r="N91" s="274">
        <f>(N103-N92*N96)/(N94/1000*6)</f>
        <v>-30.252032160116627</v>
      </c>
      <c r="O91" s="274">
        <f>(O103-O92*O96)/(O94/1000*6)</f>
        <v>-24.171022389437258</v>
      </c>
      <c r="P91" s="641">
        <f>(P92+Q92)/(P73+Q73)*P72</f>
        <v>155.79847241332121</v>
      </c>
      <c r="Q91" s="658"/>
      <c r="R91" s="275">
        <f t="shared" ref="R91:W91" si="18">(D91+K91)/2</f>
        <v>253.49467183408228</v>
      </c>
      <c r="S91" s="276">
        <f t="shared" si="18"/>
        <v>44.220054270739418</v>
      </c>
      <c r="T91" s="276">
        <f t="shared" si="18"/>
        <v>2.7473512813943386</v>
      </c>
      <c r="U91" s="276">
        <f t="shared" si="18"/>
        <v>42.443898671056793</v>
      </c>
      <c r="V91" s="276">
        <f t="shared" si="18"/>
        <v>15.665853950380226</v>
      </c>
      <c r="W91" s="276">
        <f t="shared" si="18"/>
        <v>148.41751366051153</v>
      </c>
      <c r="Y91" s="108" t="s">
        <v>45</v>
      </c>
      <c r="Z91" s="108">
        <f>W103/W92</f>
        <v>965.96405355771412</v>
      </c>
    </row>
    <row r="92" spans="1:26" ht="31.5" hidden="1" customHeight="1" x14ac:dyDescent="0.25">
      <c r="A92" s="31" t="s">
        <v>15</v>
      </c>
      <c r="B92" s="277" t="s">
        <v>16</v>
      </c>
      <c r="C92" s="278" t="s">
        <v>17</v>
      </c>
      <c r="D92" s="279">
        <f>E92+F92+G92+H92+I92+J92</f>
        <v>1433.9543936247262</v>
      </c>
      <c r="E92" s="280">
        <f>E$73/($R$73-$W$73)*($R92-$W92)</f>
        <v>455.3389983151099</v>
      </c>
      <c r="F92" s="280">
        <f>F$73/($R$73-$W$73)*($R92-$W92)</f>
        <v>22.141432254473397</v>
      </c>
      <c r="G92" s="280">
        <f>G$73/($R$73-$W$73)*($R92-$W92)</f>
        <v>338.61420170099495</v>
      </c>
      <c r="H92" s="280">
        <f>H$73/($R$73-$W$73)*($R92-$W92)</f>
        <v>194.64243293591451</v>
      </c>
      <c r="I92" s="280">
        <f>I$73/$W$73*$W92</f>
        <v>250.02421664823697</v>
      </c>
      <c r="J92" s="280">
        <f>J$73/$W$73*$W92</f>
        <v>173.19311176999639</v>
      </c>
      <c r="K92" s="279">
        <f>L92+M92+N92+O92+P92+Q92</f>
        <v>1387.4236251875554</v>
      </c>
      <c r="L92" s="280">
        <f>L$73/($R$73-$W$73)*($R92-$W92)</f>
        <v>373.2976466322848</v>
      </c>
      <c r="M92" s="280">
        <f>M$73/($R$73-$W$73)*($R92-$W92)</f>
        <v>22.175002376045914</v>
      </c>
      <c r="N92" s="280">
        <f>N$73/($R$73-$W$73)*($R92-$W92)</f>
        <v>327.86594705077681</v>
      </c>
      <c r="O92" s="280">
        <f>O$73/($R$73-$W$73)*($R92-$W92)</f>
        <v>196.59383336288113</v>
      </c>
      <c r="P92" s="280">
        <f>P$73/$W$73*$W92</f>
        <v>294.26941312032841</v>
      </c>
      <c r="Q92" s="280">
        <f>Q$73/$W$73*$W92</f>
        <v>173.22178264523836</v>
      </c>
      <c r="R92" s="197">
        <f>'[4]БАЛАНС ВАРИАНТЫ'!CS33</f>
        <v>2821.3780188122814</v>
      </c>
      <c r="S92" s="199">
        <f>E92+L92</f>
        <v>828.63664494739464</v>
      </c>
      <c r="T92" s="199">
        <f>F92+M92</f>
        <v>44.316434630519311</v>
      </c>
      <c r="U92" s="199">
        <f>G92+N92</f>
        <v>666.48014875177182</v>
      </c>
      <c r="V92" s="199">
        <f>H92+O92</f>
        <v>391.23626629879561</v>
      </c>
      <c r="W92" s="199">
        <f>'[3]1.7 Баланс ээ'!S34</f>
        <v>890.70852418380002</v>
      </c>
      <c r="X92" s="119"/>
      <c r="Y92" s="108"/>
      <c r="Z92" s="108"/>
    </row>
    <row r="93" spans="1:26" ht="20.25" hidden="1" customHeight="1" x14ac:dyDescent="0.25">
      <c r="A93" s="23"/>
      <c r="B93" s="281"/>
      <c r="C93" s="282"/>
      <c r="D93" s="283"/>
      <c r="E93" s="284"/>
      <c r="F93" s="284"/>
      <c r="G93" s="284"/>
      <c r="H93" s="284"/>
      <c r="I93" s="284"/>
      <c r="J93" s="285"/>
      <c r="K93" s="283"/>
      <c r="L93" s="284"/>
      <c r="M93" s="284"/>
      <c r="N93" s="284"/>
      <c r="O93" s="284"/>
      <c r="P93" s="284"/>
      <c r="Q93" s="285"/>
      <c r="R93" s="286"/>
      <c r="S93" s="287"/>
      <c r="T93" s="287"/>
      <c r="U93" s="287"/>
      <c r="V93" s="287"/>
      <c r="W93" s="288"/>
      <c r="Y93" s="108"/>
      <c r="Z93" s="108"/>
    </row>
    <row r="94" spans="1:26" ht="20.25" hidden="1" customHeight="1" x14ac:dyDescent="0.25">
      <c r="A94" s="31" t="s">
        <v>18</v>
      </c>
      <c r="B94" s="277" t="s">
        <v>19</v>
      </c>
      <c r="C94" s="278" t="s">
        <v>20</v>
      </c>
      <c r="D94" s="283"/>
      <c r="E94" s="289">
        <f>L74</f>
        <v>600332.80000000005</v>
      </c>
      <c r="F94" s="289">
        <f>M74</f>
        <v>534149.81999999995</v>
      </c>
      <c r="G94" s="289">
        <f>N74</f>
        <v>779053.01</v>
      </c>
      <c r="H94" s="289">
        <f>O74</f>
        <v>1156534.1599999999</v>
      </c>
      <c r="I94" s="290">
        <v>0</v>
      </c>
      <c r="J94" s="291"/>
      <c r="K94" s="283"/>
      <c r="L94" s="289">
        <f>S74</f>
        <v>390271.40374897345</v>
      </c>
      <c r="M94" s="289">
        <f>T74</f>
        <v>522720.9839905338</v>
      </c>
      <c r="N94" s="289">
        <f>U74</f>
        <v>762566.24338611995</v>
      </c>
      <c r="O94" s="289">
        <f>V74</f>
        <v>1139966.6772724835</v>
      </c>
      <c r="P94" s="290">
        <v>0</v>
      </c>
      <c r="Q94" s="291"/>
      <c r="R94" s="208">
        <f>R101/R91/12*1000</f>
        <v>354435.74450149428</v>
      </c>
      <c r="S94" s="208">
        <f>S101/S91/12*1000</f>
        <v>643499.44985330384</v>
      </c>
      <c r="T94" s="208">
        <f>T101/T91/12*1000</f>
        <v>537462.62223967433</v>
      </c>
      <c r="U94" s="208">
        <f>U101/U91/12*1000</f>
        <v>784928.509299497</v>
      </c>
      <c r="V94" s="208">
        <f>V101/V91/12*1000</f>
        <v>1169315.23778905</v>
      </c>
      <c r="W94" s="209"/>
      <c r="Y94" s="108"/>
      <c r="Z94" s="108"/>
    </row>
    <row r="95" spans="1:26" ht="20.25" hidden="1" customHeight="1" x14ac:dyDescent="0.25">
      <c r="A95" s="31"/>
      <c r="B95" s="277"/>
      <c r="C95" s="278"/>
      <c r="D95" s="283"/>
      <c r="E95" s="292">
        <f>E94/L74*100</f>
        <v>100</v>
      </c>
      <c r="F95" s="292">
        <f>F94/M74*100</f>
        <v>100</v>
      </c>
      <c r="G95" s="292">
        <f>G94/N74*100</f>
        <v>100</v>
      </c>
      <c r="H95" s="292">
        <f>H94/O74*100</f>
        <v>100</v>
      </c>
      <c r="I95" s="289"/>
      <c r="J95" s="291"/>
      <c r="K95" s="283"/>
      <c r="L95" s="292">
        <f>L94/S74*100</f>
        <v>100</v>
      </c>
      <c r="M95" s="292">
        <f>M94/T74*100</f>
        <v>100</v>
      </c>
      <c r="N95" s="292">
        <f>N94/U74*100</f>
        <v>100</v>
      </c>
      <c r="O95" s="292">
        <f>O94/V74*100</f>
        <v>100</v>
      </c>
      <c r="P95" s="289"/>
      <c r="Q95" s="291"/>
      <c r="R95" s="222"/>
      <c r="S95" s="223"/>
      <c r="T95" s="223"/>
      <c r="U95" s="223"/>
      <c r="V95" s="223"/>
      <c r="W95" s="209"/>
      <c r="Y95" s="108"/>
      <c r="Z95" s="108"/>
    </row>
    <row r="96" spans="1:26" ht="47.25" hidden="1" customHeight="1" x14ac:dyDescent="0.25">
      <c r="A96" s="31" t="s">
        <v>21</v>
      </c>
      <c r="B96" s="277" t="s">
        <v>22</v>
      </c>
      <c r="C96" s="278" t="s">
        <v>23</v>
      </c>
      <c r="D96" s="283"/>
      <c r="E96" s="289">
        <f t="shared" ref="E96:J96" si="19">L76</f>
        <v>124.85</v>
      </c>
      <c r="F96" s="289">
        <f t="shared" si="19"/>
        <v>232.88</v>
      </c>
      <c r="G96" s="289">
        <f t="shared" si="19"/>
        <v>436.68</v>
      </c>
      <c r="H96" s="289">
        <f t="shared" si="19"/>
        <v>869.24</v>
      </c>
      <c r="I96" s="289">
        <f t="shared" si="19"/>
        <v>2504.29</v>
      </c>
      <c r="J96" s="289">
        <f t="shared" si="19"/>
        <v>1352.59</v>
      </c>
      <c r="K96" s="283"/>
      <c r="L96" s="289">
        <f t="shared" ref="L96:Q96" si="20">S76</f>
        <v>114.00242577063236</v>
      </c>
      <c r="M96" s="289">
        <f t="shared" si="20"/>
        <v>225.26577222261932</v>
      </c>
      <c r="N96" s="289">
        <f t="shared" si="20"/>
        <v>422.16970795500424</v>
      </c>
      <c r="O96" s="289">
        <f t="shared" si="20"/>
        <v>840.94682752449228</v>
      </c>
      <c r="P96" s="289">
        <f t="shared" si="20"/>
        <v>0</v>
      </c>
      <c r="Q96" s="289">
        <f t="shared" si="20"/>
        <v>0</v>
      </c>
      <c r="R96" s="218">
        <f>R102/R92</f>
        <v>528.59531943219667</v>
      </c>
      <c r="S96" s="218">
        <f>S102/S92</f>
        <v>119.96320920190655</v>
      </c>
      <c r="T96" s="218">
        <f>T102/T92</f>
        <v>229.0700021862568</v>
      </c>
      <c r="U96" s="218">
        <f>U102/U92</f>
        <v>429.54185694768864</v>
      </c>
      <c r="V96" s="218">
        <f>V102/V92</f>
        <v>855.02285370224547</v>
      </c>
      <c r="W96" s="209"/>
      <c r="Y96" s="108"/>
      <c r="Z96" s="108"/>
    </row>
    <row r="97" spans="1:258" ht="20.25" hidden="1" customHeight="1" x14ac:dyDescent="0.25">
      <c r="A97" s="31"/>
      <c r="B97" s="277"/>
      <c r="C97" s="278" t="s">
        <v>23</v>
      </c>
      <c r="D97" s="283"/>
      <c r="E97" s="292">
        <f t="shared" ref="E97:J97" si="21">E96/L76*100</f>
        <v>100</v>
      </c>
      <c r="F97" s="292">
        <f t="shared" si="21"/>
        <v>100</v>
      </c>
      <c r="G97" s="292">
        <f t="shared" si="21"/>
        <v>100</v>
      </c>
      <c r="H97" s="292">
        <f t="shared" si="21"/>
        <v>100</v>
      </c>
      <c r="I97" s="292">
        <f t="shared" si="21"/>
        <v>100</v>
      </c>
      <c r="J97" s="292">
        <f t="shared" si="21"/>
        <v>100</v>
      </c>
      <c r="K97" s="283"/>
      <c r="L97" s="292">
        <f t="shared" ref="L97:Q97" si="22">L96/S76*100</f>
        <v>100</v>
      </c>
      <c r="M97" s="292">
        <f t="shared" si="22"/>
        <v>100</v>
      </c>
      <c r="N97" s="292">
        <f t="shared" si="22"/>
        <v>100</v>
      </c>
      <c r="O97" s="292">
        <f t="shared" si="22"/>
        <v>100</v>
      </c>
      <c r="P97" s="292" t="e">
        <f t="shared" si="22"/>
        <v>#DIV/0!</v>
      </c>
      <c r="Q97" s="292" t="e">
        <f t="shared" si="22"/>
        <v>#DIV/0!</v>
      </c>
      <c r="R97" s="222"/>
      <c r="S97" s="223"/>
      <c r="T97" s="223"/>
      <c r="U97" s="223"/>
      <c r="V97" s="223"/>
      <c r="W97" s="209"/>
      <c r="Y97" s="108"/>
      <c r="Z97" s="108"/>
    </row>
    <row r="98" spans="1:258" ht="20.25" hidden="1" customHeight="1" x14ac:dyDescent="0.25">
      <c r="A98" s="31" t="s">
        <v>25</v>
      </c>
      <c r="B98" s="277" t="s">
        <v>26</v>
      </c>
      <c r="C98" s="293"/>
      <c r="D98" s="294">
        <f>D103/D92</f>
        <v>1791.9245544915268</v>
      </c>
      <c r="E98" s="289">
        <f>L78</f>
        <v>968.23</v>
      </c>
      <c r="F98" s="289">
        <f>M78</f>
        <v>1258.76</v>
      </c>
      <c r="G98" s="289">
        <f>N78</f>
        <v>2026.1</v>
      </c>
      <c r="H98" s="289">
        <f>O78</f>
        <v>2847.97</v>
      </c>
      <c r="I98" s="290">
        <f>I96</f>
        <v>2504.29</v>
      </c>
      <c r="J98" s="295">
        <f>J96</f>
        <v>1352.59</v>
      </c>
      <c r="K98" s="294">
        <f>K103/K92</f>
        <v>0</v>
      </c>
      <c r="L98" s="289">
        <f>S78</f>
        <v>0</v>
      </c>
      <c r="M98" s="289">
        <f>T78</f>
        <v>0</v>
      </c>
      <c r="N98" s="289">
        <f>U78</f>
        <v>0</v>
      </c>
      <c r="O98" s="289">
        <f>V78</f>
        <v>0</v>
      </c>
      <c r="P98" s="290">
        <f>P96</f>
        <v>0</v>
      </c>
      <c r="Q98" s="295">
        <f>Q96</f>
        <v>0</v>
      </c>
      <c r="R98" s="227">
        <f>R103/R92</f>
        <v>910.73867834231453</v>
      </c>
      <c r="S98" s="228"/>
      <c r="T98" s="228"/>
      <c r="U98" s="228"/>
      <c r="V98" s="228"/>
      <c r="W98" s="209"/>
      <c r="Y98" s="108"/>
      <c r="Z98" s="108"/>
    </row>
    <row r="99" spans="1:258" ht="20.25" hidden="1" customHeight="1" x14ac:dyDescent="0.25">
      <c r="A99" s="296"/>
      <c r="B99" s="297" t="s">
        <v>27</v>
      </c>
      <c r="C99" s="298"/>
      <c r="D99" s="283"/>
      <c r="E99" s="292">
        <f t="shared" ref="E99:J99" si="23">E98/L78*100</f>
        <v>100</v>
      </c>
      <c r="F99" s="292">
        <f t="shared" si="23"/>
        <v>100</v>
      </c>
      <c r="G99" s="292">
        <f t="shared" si="23"/>
        <v>100</v>
      </c>
      <c r="H99" s="292">
        <f t="shared" si="23"/>
        <v>100</v>
      </c>
      <c r="I99" s="292">
        <f t="shared" si="23"/>
        <v>100</v>
      </c>
      <c r="J99" s="292">
        <f t="shared" si="23"/>
        <v>100</v>
      </c>
      <c r="K99" s="283"/>
      <c r="L99" s="292" t="e">
        <f t="shared" ref="L99:Q99" si="24">L98/S78*100</f>
        <v>#DIV/0!</v>
      </c>
      <c r="M99" s="292" t="e">
        <f t="shared" si="24"/>
        <v>#DIV/0!</v>
      </c>
      <c r="N99" s="292" t="e">
        <f t="shared" si="24"/>
        <v>#DIV/0!</v>
      </c>
      <c r="O99" s="292" t="e">
        <f t="shared" si="24"/>
        <v>#DIV/0!</v>
      </c>
      <c r="P99" s="292" t="e">
        <f t="shared" si="24"/>
        <v>#DIV/0!</v>
      </c>
      <c r="Q99" s="292" t="e">
        <f t="shared" si="24"/>
        <v>#DIV/0!</v>
      </c>
      <c r="R99" s="235">
        <f>R98/R78*100</f>
        <v>51.132074682773897</v>
      </c>
      <c r="S99" s="236"/>
      <c r="T99" s="236"/>
      <c r="U99" s="236"/>
      <c r="V99" s="236"/>
      <c r="W99" s="299"/>
      <c r="Y99" s="108"/>
      <c r="Z99" s="108"/>
    </row>
    <row r="100" spans="1:258" ht="20.25" hidden="1" customHeight="1" x14ac:dyDescent="0.25">
      <c r="A100" s="300">
        <v>6</v>
      </c>
      <c r="B100" s="277" t="s">
        <v>28</v>
      </c>
      <c r="C100" s="278" t="s">
        <v>29</v>
      </c>
      <c r="D100" s="279">
        <f>SUM(E100:J100)</f>
        <v>2569538.087957155</v>
      </c>
      <c r="E100" s="280">
        <f>E91*E94*6/1000+E92*E96</f>
        <v>440872.87833863898</v>
      </c>
      <c r="F100" s="280">
        <f>F91*F94*6/1000+F92*F96</f>
        <v>27870.749264640934</v>
      </c>
      <c r="G100" s="280">
        <f>G91*G94*6/1000+G92*G96</f>
        <v>686066.23406638601</v>
      </c>
      <c r="H100" s="280">
        <f>H91*H94*6/1000+H92*H96</f>
        <v>554335.80972849648</v>
      </c>
      <c r="I100" s="280">
        <f>I92*I96</f>
        <v>626133.14551001333</v>
      </c>
      <c r="J100" s="301">
        <f>J92*J96</f>
        <v>234259.2710489794</v>
      </c>
      <c r="K100" s="279">
        <f>SUM(L100:Q100)</f>
        <v>0</v>
      </c>
      <c r="L100" s="280">
        <f>L91*L94*6/1000+L92*L96</f>
        <v>0</v>
      </c>
      <c r="M100" s="280">
        <f>M91*M94*6/1000+M92*M96</f>
        <v>0</v>
      </c>
      <c r="N100" s="280">
        <f>N91*N94*6/1000+N92*N96</f>
        <v>0</v>
      </c>
      <c r="O100" s="280">
        <f>O91*O94*6/1000+O92*O96</f>
        <v>0</v>
      </c>
      <c r="P100" s="280">
        <f>P92*P96</f>
        <v>0</v>
      </c>
      <c r="Q100" s="301">
        <f>Q92*Q96</f>
        <v>0</v>
      </c>
      <c r="R100" s="242">
        <f t="shared" ref="R100:V103" si="25">D100+K100</f>
        <v>2569538.087957155</v>
      </c>
      <c r="S100" s="199">
        <f t="shared" si="25"/>
        <v>440872.87833863898</v>
      </c>
      <c r="T100" s="199">
        <f t="shared" si="25"/>
        <v>27870.749264640934</v>
      </c>
      <c r="U100" s="199">
        <f t="shared" si="25"/>
        <v>686066.23406638601</v>
      </c>
      <c r="V100" s="199">
        <f t="shared" si="25"/>
        <v>554335.80972849648</v>
      </c>
      <c r="W100" s="199">
        <f>I100+P100+J100+Q100</f>
        <v>860392.4165589927</v>
      </c>
      <c r="Y100" s="108"/>
      <c r="Z100" s="108"/>
    </row>
    <row r="101" spans="1:258" ht="20.25" hidden="1" customHeight="1" x14ac:dyDescent="0.25">
      <c r="A101" s="302"/>
      <c r="B101" s="303" t="s">
        <v>46</v>
      </c>
      <c r="C101" s="304"/>
      <c r="D101" s="305">
        <f>SUM(E101:J101)</f>
        <v>1822598.2487158219</v>
      </c>
      <c r="E101" s="306">
        <f t="shared" ref="E101:J101" si="26">E100-E102</f>
        <v>384023.80439899751</v>
      </c>
      <c r="F101" s="306">
        <f t="shared" si="26"/>
        <v>22714.452521219169</v>
      </c>
      <c r="G101" s="306">
        <f t="shared" si="26"/>
        <v>538200.18446759554</v>
      </c>
      <c r="H101" s="306">
        <f t="shared" si="26"/>
        <v>385144.82132328214</v>
      </c>
      <c r="I101" s="306">
        <f t="shared" si="26"/>
        <v>408802.09543069982</v>
      </c>
      <c r="J101" s="306">
        <f t="shared" si="26"/>
        <v>83712.890574027726</v>
      </c>
      <c r="K101" s="305">
        <f>SUM(L101:Q101)</f>
        <v>-744427.37585172278</v>
      </c>
      <c r="L101" s="306">
        <f t="shared" ref="L101:Q101" si="27">L100-L102</f>
        <v>-42556.837250548793</v>
      </c>
      <c r="M101" s="306">
        <f t="shared" si="27"/>
        <v>-4995.2690342784008</v>
      </c>
      <c r="N101" s="306">
        <f t="shared" si="27"/>
        <v>-138415.07111481734</v>
      </c>
      <c r="O101" s="306">
        <f t="shared" si="27"/>
        <v>-165324.96047739356</v>
      </c>
      <c r="P101" s="306">
        <f t="shared" si="27"/>
        <v>-247464.92940103437</v>
      </c>
      <c r="Q101" s="306">
        <f t="shared" si="27"/>
        <v>-145670.30857365034</v>
      </c>
      <c r="R101" s="242">
        <f t="shared" si="25"/>
        <v>1078170.8728640992</v>
      </c>
      <c r="S101" s="199">
        <f t="shared" si="25"/>
        <v>341466.96714844869</v>
      </c>
      <c r="T101" s="199">
        <f t="shared" si="25"/>
        <v>17719.183486940768</v>
      </c>
      <c r="U101" s="199">
        <f t="shared" si="25"/>
        <v>399785.11335277819</v>
      </c>
      <c r="V101" s="199">
        <f t="shared" si="25"/>
        <v>219819.86084588859</v>
      </c>
      <c r="W101" s="248"/>
      <c r="Y101" s="108"/>
      <c r="Z101" s="108"/>
    </row>
    <row r="102" spans="1:258" ht="20.25" hidden="1" customHeight="1" x14ac:dyDescent="0.25">
      <c r="A102" s="302"/>
      <c r="B102" s="303" t="s">
        <v>47</v>
      </c>
      <c r="C102" s="304"/>
      <c r="D102" s="305">
        <f>SUM(E102:J102)</f>
        <v>746939.83924133319</v>
      </c>
      <c r="E102" s="306">
        <f>E92*E96</f>
        <v>56849.073939641472</v>
      </c>
      <c r="F102" s="306">
        <f>F92*F96</f>
        <v>5156.2967434217644</v>
      </c>
      <c r="G102" s="306">
        <f>G92*G96</f>
        <v>147866.04959879047</v>
      </c>
      <c r="H102" s="306">
        <f>H92*H96</f>
        <v>169190.98840521433</v>
      </c>
      <c r="I102" s="306">
        <f>I92*H96</f>
        <v>217331.05007931351</v>
      </c>
      <c r="J102" s="306">
        <f>J92*H96</f>
        <v>150546.38047495167</v>
      </c>
      <c r="K102" s="305">
        <f>SUM(L102:Q102)</f>
        <v>744427.37585172278</v>
      </c>
      <c r="L102" s="306">
        <f>L92*L96</f>
        <v>42556.837250548793</v>
      </c>
      <c r="M102" s="306">
        <f>M92*M96</f>
        <v>4995.2690342784008</v>
      </c>
      <c r="N102" s="306">
        <f>N92*N96</f>
        <v>138415.07111481734</v>
      </c>
      <c r="O102" s="306">
        <f>O92*O96</f>
        <v>165324.96047739356</v>
      </c>
      <c r="P102" s="306">
        <f>P92*O96</f>
        <v>247464.92940103437</v>
      </c>
      <c r="Q102" s="306">
        <f>Q92*O96</f>
        <v>145670.30857365034</v>
      </c>
      <c r="R102" s="242">
        <f t="shared" si="25"/>
        <v>1491367.215093056</v>
      </c>
      <c r="S102" s="199">
        <f t="shared" si="25"/>
        <v>99405.911190190265</v>
      </c>
      <c r="T102" s="199">
        <f t="shared" si="25"/>
        <v>10151.565777700165</v>
      </c>
      <c r="U102" s="199">
        <f t="shared" si="25"/>
        <v>286281.12071360782</v>
      </c>
      <c r="V102" s="199">
        <f t="shared" si="25"/>
        <v>334515.94888260786</v>
      </c>
      <c r="W102" s="248"/>
      <c r="Y102" s="108"/>
      <c r="Z102" s="108"/>
    </row>
    <row r="103" spans="1:258" ht="21" hidden="1" customHeight="1" x14ac:dyDescent="0.25">
      <c r="A103" s="307">
        <v>7</v>
      </c>
      <c r="B103" s="308" t="s">
        <v>30</v>
      </c>
      <c r="C103" s="309" t="s">
        <v>29</v>
      </c>
      <c r="D103" s="279">
        <f>SUM(E103:J103)</f>
        <v>2569538.087957155</v>
      </c>
      <c r="E103" s="310">
        <f t="shared" ref="E103:J103" si="28">E92*E98</f>
        <v>440872.87833863887</v>
      </c>
      <c r="F103" s="310">
        <f t="shared" si="28"/>
        <v>27870.749264640934</v>
      </c>
      <c r="G103" s="310">
        <f t="shared" si="28"/>
        <v>686066.23406638589</v>
      </c>
      <c r="H103" s="310">
        <f t="shared" si="28"/>
        <v>554335.80972849648</v>
      </c>
      <c r="I103" s="310">
        <f t="shared" si="28"/>
        <v>626133.14551001333</v>
      </c>
      <c r="J103" s="311">
        <f t="shared" si="28"/>
        <v>234259.2710489794</v>
      </c>
      <c r="K103" s="279">
        <f>SUM(L103:Q103)</f>
        <v>0</v>
      </c>
      <c r="L103" s="310">
        <f t="shared" ref="L103:Q103" si="29">L92*L98</f>
        <v>0</v>
      </c>
      <c r="M103" s="310">
        <f t="shared" si="29"/>
        <v>0</v>
      </c>
      <c r="N103" s="310">
        <f t="shared" si="29"/>
        <v>0</v>
      </c>
      <c r="O103" s="310">
        <f t="shared" si="29"/>
        <v>0</v>
      </c>
      <c r="P103" s="310">
        <f t="shared" si="29"/>
        <v>0</v>
      </c>
      <c r="Q103" s="311">
        <f t="shared" si="29"/>
        <v>0</v>
      </c>
      <c r="R103" s="258">
        <f>D103+K103</f>
        <v>2569538.087957155</v>
      </c>
      <c r="S103" s="259">
        <f t="shared" si="25"/>
        <v>440872.87833863887</v>
      </c>
      <c r="T103" s="259">
        <f t="shared" si="25"/>
        <v>27870.749264640934</v>
      </c>
      <c r="U103" s="259">
        <f t="shared" si="25"/>
        <v>686066.23406638589</v>
      </c>
      <c r="V103" s="259">
        <f t="shared" si="25"/>
        <v>554335.80972849648</v>
      </c>
      <c r="W103" s="199">
        <f>I103+P103+J103+Q103</f>
        <v>860392.4165589927</v>
      </c>
      <c r="Y103" s="108"/>
      <c r="Z103" s="108"/>
    </row>
    <row r="104" spans="1:258" ht="20.25" hidden="1" customHeight="1" x14ac:dyDescent="0.25">
      <c r="A104" s="78"/>
      <c r="B104" s="79" t="s">
        <v>32</v>
      </c>
      <c r="C104" s="80"/>
      <c r="D104" s="312">
        <f>D100-D103</f>
        <v>0</v>
      </c>
      <c r="E104" s="312">
        <f>E100-E103</f>
        <v>0</v>
      </c>
      <c r="F104" s="312">
        <f t="shared" ref="F104:W104" si="30">F100-F103</f>
        <v>0</v>
      </c>
      <c r="G104" s="312">
        <f t="shared" si="30"/>
        <v>0</v>
      </c>
      <c r="H104" s="312">
        <f t="shared" si="30"/>
        <v>0</v>
      </c>
      <c r="I104" s="312">
        <f t="shared" si="30"/>
        <v>0</v>
      </c>
      <c r="J104" s="312">
        <f t="shared" si="30"/>
        <v>0</v>
      </c>
      <c r="K104" s="312">
        <f>K100-K103</f>
        <v>0</v>
      </c>
      <c r="L104" s="312">
        <f>L100-L103</f>
        <v>0</v>
      </c>
      <c r="M104" s="312">
        <f t="shared" ref="M104:Q104" si="31">M100-M103</f>
        <v>0</v>
      </c>
      <c r="N104" s="312">
        <f t="shared" si="31"/>
        <v>0</v>
      </c>
      <c r="O104" s="312">
        <f t="shared" si="31"/>
        <v>0</v>
      </c>
      <c r="P104" s="312">
        <f t="shared" si="31"/>
        <v>0</v>
      </c>
      <c r="Q104" s="312">
        <f t="shared" si="31"/>
        <v>0</v>
      </c>
      <c r="R104" s="82">
        <f t="shared" si="30"/>
        <v>0</v>
      </c>
      <c r="S104" s="82">
        <f t="shared" si="30"/>
        <v>0</v>
      </c>
      <c r="T104" s="82">
        <f t="shared" si="30"/>
        <v>0</v>
      </c>
      <c r="U104" s="82">
        <f t="shared" si="30"/>
        <v>0</v>
      </c>
      <c r="V104" s="82">
        <f t="shared" si="30"/>
        <v>0</v>
      </c>
      <c r="W104" s="82">
        <f t="shared" si="30"/>
        <v>0</v>
      </c>
      <c r="Y104" s="108"/>
      <c r="Z104" s="108"/>
    </row>
    <row r="105" spans="1:258" ht="21" hidden="1" customHeight="1" x14ac:dyDescent="0.35"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313">
        <f>R103-'[3]1.3 Расчет НВВ по RAB (2022)'!O$130</f>
        <v>-2831890.3623937704</v>
      </c>
      <c r="S105" s="152"/>
      <c r="T105" s="152"/>
      <c r="U105" s="152"/>
      <c r="V105" s="152"/>
      <c r="W105" s="152"/>
    </row>
    <row r="106" spans="1:258" s="314" customFormat="1" ht="27" hidden="1" thickBot="1" x14ac:dyDescent="0.45">
      <c r="B106" s="315" t="s">
        <v>63</v>
      </c>
      <c r="D106" s="316">
        <f>D87/(E110+F110+G110+H110)</f>
        <v>370.45985773963963</v>
      </c>
      <c r="E106" s="316">
        <f>E87/E110</f>
        <v>556.86651024939783</v>
      </c>
      <c r="F106" s="316">
        <f t="shared" ref="F106:H106" si="32">F87/F110</f>
        <v>443.77417474359515</v>
      </c>
      <c r="G106" s="316">
        <f t="shared" si="32"/>
        <v>282.53419191209662</v>
      </c>
      <c r="H106" s="316">
        <f t="shared" si="32"/>
        <v>236.6959952353379</v>
      </c>
      <c r="I106" s="316"/>
      <c r="J106" s="316"/>
      <c r="K106" s="316">
        <f>K87/(L110+M110+N110+O110)</f>
        <v>388.73582729563259</v>
      </c>
      <c r="L106" s="316">
        <f>L87/L110</f>
        <v>575.10158595437667</v>
      </c>
      <c r="M106" s="316">
        <f t="shared" ref="M106:O106" si="33">M87/M110</f>
        <v>437.8295484066785</v>
      </c>
      <c r="N106" s="316">
        <f t="shared" si="33"/>
        <v>269.35108523744458</v>
      </c>
      <c r="O106" s="316">
        <f t="shared" si="33"/>
        <v>289.23709713172684</v>
      </c>
      <c r="P106" s="316"/>
      <c r="Q106" s="316"/>
    </row>
    <row r="107" spans="1:258" s="314" customFormat="1" ht="48" customHeight="1" thickBot="1" x14ac:dyDescent="0.4">
      <c r="A107" s="646" t="s">
        <v>1</v>
      </c>
      <c r="B107" s="648" t="s">
        <v>2</v>
      </c>
      <c r="C107" s="650"/>
      <c r="D107" s="652" t="s">
        <v>61</v>
      </c>
      <c r="E107" s="653"/>
      <c r="F107" s="653"/>
      <c r="G107" s="653"/>
      <c r="H107" s="653"/>
      <c r="I107" s="653"/>
      <c r="J107" s="654"/>
      <c r="K107" s="652" t="s">
        <v>64</v>
      </c>
      <c r="L107" s="653"/>
      <c r="M107" s="653"/>
      <c r="N107" s="653"/>
      <c r="O107" s="653"/>
      <c r="P107" s="653"/>
      <c r="Q107" s="654"/>
      <c r="R107" s="652">
        <v>2018</v>
      </c>
      <c r="S107" s="653"/>
      <c r="T107" s="653"/>
      <c r="U107" s="653"/>
      <c r="V107" s="653"/>
      <c r="W107" s="654"/>
      <c r="X107" s="570"/>
      <c r="Y107" s="571"/>
      <c r="Z107" s="571"/>
      <c r="AA107" s="571"/>
      <c r="AB107" s="571"/>
      <c r="AC107" s="571"/>
      <c r="AD107" s="571"/>
      <c r="AE107" s="571"/>
      <c r="AF107" s="571"/>
      <c r="AG107" s="571"/>
      <c r="AH107" s="571"/>
      <c r="AI107" s="571"/>
      <c r="AJ107" s="571"/>
      <c r="AK107" s="571"/>
      <c r="AL107" s="571"/>
      <c r="AM107" s="571"/>
      <c r="AN107" s="571"/>
      <c r="AO107" s="571"/>
      <c r="AP107" s="571"/>
      <c r="AQ107" s="571"/>
      <c r="AR107" s="571"/>
      <c r="AS107" s="571"/>
      <c r="AT107" s="571"/>
      <c r="AU107" s="571"/>
      <c r="AV107" s="571"/>
      <c r="AW107" s="571"/>
      <c r="AX107" s="571"/>
      <c r="AY107" s="571"/>
      <c r="AZ107" s="571"/>
      <c r="BA107" s="571"/>
      <c r="BB107" s="571"/>
      <c r="BC107" s="571"/>
      <c r="BD107" s="571"/>
      <c r="BE107" s="571"/>
      <c r="BF107" s="571"/>
      <c r="BG107" s="571"/>
      <c r="BH107" s="571"/>
      <c r="BI107" s="571"/>
      <c r="BJ107" s="571"/>
      <c r="BK107" s="571"/>
      <c r="BL107" s="571"/>
      <c r="BM107" s="571"/>
      <c r="BN107" s="571"/>
      <c r="BO107" s="571"/>
      <c r="BP107" s="571"/>
      <c r="BQ107" s="571"/>
      <c r="BR107" s="571"/>
      <c r="BS107" s="571"/>
      <c r="BT107" s="571"/>
      <c r="BU107" s="571"/>
      <c r="BV107" s="571"/>
      <c r="BW107" s="571"/>
      <c r="BX107" s="571"/>
      <c r="BY107" s="571"/>
      <c r="BZ107" s="571"/>
      <c r="CA107" s="571"/>
      <c r="CB107" s="571"/>
      <c r="CC107" s="571"/>
      <c r="CD107" s="571"/>
      <c r="CE107" s="571"/>
      <c r="CF107" s="571"/>
      <c r="CG107" s="571"/>
      <c r="CH107" s="571"/>
      <c r="CI107" s="571"/>
      <c r="CJ107" s="571"/>
      <c r="CK107" s="571"/>
      <c r="CL107" s="571"/>
      <c r="CM107" s="571"/>
      <c r="CN107" s="571"/>
      <c r="CO107" s="571"/>
      <c r="CP107" s="571"/>
      <c r="CQ107" s="571"/>
      <c r="CR107" s="571"/>
      <c r="CS107" s="571"/>
      <c r="CT107" s="571"/>
      <c r="CU107" s="571"/>
      <c r="CV107" s="571"/>
      <c r="CW107" s="571"/>
      <c r="CX107" s="571"/>
      <c r="CY107" s="571"/>
      <c r="CZ107" s="571"/>
      <c r="DA107" s="571"/>
      <c r="DB107" s="571"/>
      <c r="DC107" s="571"/>
      <c r="DD107" s="571"/>
      <c r="DE107" s="571"/>
      <c r="DF107" s="571"/>
      <c r="DG107" s="571"/>
      <c r="DH107" s="571"/>
      <c r="DI107" s="571"/>
      <c r="DJ107" s="571"/>
      <c r="DK107" s="571"/>
      <c r="DL107" s="571"/>
      <c r="DM107" s="571"/>
      <c r="DN107" s="571"/>
      <c r="DO107" s="571"/>
      <c r="DP107" s="571"/>
      <c r="DQ107" s="571"/>
      <c r="DR107" s="571"/>
      <c r="DS107" s="571"/>
      <c r="DT107" s="571"/>
      <c r="DU107" s="571"/>
      <c r="DV107" s="571"/>
      <c r="DW107" s="571"/>
      <c r="DX107" s="571"/>
      <c r="DY107" s="571"/>
      <c r="DZ107" s="571"/>
      <c r="EA107" s="571"/>
      <c r="EB107" s="571"/>
      <c r="EC107" s="571"/>
      <c r="ED107" s="571"/>
      <c r="EE107" s="571"/>
      <c r="EF107" s="571"/>
      <c r="EG107" s="571"/>
      <c r="EH107" s="571"/>
      <c r="EI107" s="571"/>
      <c r="EJ107" s="571"/>
      <c r="EK107" s="571"/>
      <c r="EL107" s="571"/>
      <c r="EM107" s="571"/>
      <c r="EN107" s="571"/>
      <c r="EO107" s="571"/>
      <c r="EP107" s="571"/>
      <c r="EQ107" s="571"/>
      <c r="ER107" s="571"/>
      <c r="ES107" s="571"/>
      <c r="ET107" s="571"/>
      <c r="EU107" s="571"/>
      <c r="EV107" s="571"/>
      <c r="EW107" s="571"/>
      <c r="EX107" s="571"/>
      <c r="EY107" s="571"/>
      <c r="EZ107" s="571"/>
      <c r="FA107" s="571"/>
      <c r="FB107" s="571"/>
      <c r="FC107" s="571"/>
      <c r="FD107" s="571"/>
      <c r="FE107" s="571"/>
      <c r="FF107" s="571"/>
      <c r="FG107" s="571"/>
      <c r="FH107" s="571"/>
      <c r="FI107" s="571"/>
      <c r="FJ107" s="571"/>
      <c r="FK107" s="571"/>
      <c r="FL107" s="571"/>
      <c r="FM107" s="571"/>
      <c r="FN107" s="571"/>
      <c r="FO107" s="571"/>
      <c r="FP107" s="571"/>
      <c r="FQ107" s="571"/>
      <c r="FR107" s="571"/>
      <c r="FS107" s="571"/>
      <c r="FT107" s="571"/>
      <c r="FU107" s="571"/>
      <c r="FV107" s="571"/>
      <c r="FW107" s="571"/>
      <c r="FX107" s="571"/>
      <c r="FY107" s="571"/>
      <c r="FZ107" s="571"/>
      <c r="GA107" s="571"/>
      <c r="GB107" s="571"/>
      <c r="GC107" s="571"/>
      <c r="GD107" s="571"/>
      <c r="GE107" s="571"/>
      <c r="GF107" s="571"/>
      <c r="GG107" s="571"/>
      <c r="GH107" s="571"/>
      <c r="GI107" s="571"/>
      <c r="GJ107" s="571"/>
      <c r="GK107" s="571"/>
      <c r="GL107" s="571"/>
      <c r="GM107" s="571"/>
      <c r="GN107" s="571"/>
      <c r="GO107" s="571"/>
      <c r="GP107" s="571"/>
      <c r="GQ107" s="571"/>
      <c r="GR107" s="571"/>
      <c r="GS107" s="571"/>
      <c r="GT107" s="571"/>
      <c r="GU107" s="571"/>
      <c r="GV107" s="571"/>
      <c r="GW107" s="571"/>
      <c r="GX107" s="571"/>
      <c r="GY107" s="571"/>
      <c r="GZ107" s="571"/>
      <c r="HA107" s="571"/>
      <c r="HB107" s="571"/>
      <c r="HC107" s="571"/>
      <c r="HD107" s="571"/>
      <c r="HE107" s="571"/>
      <c r="HF107" s="571"/>
      <c r="HG107" s="571"/>
      <c r="HH107" s="571"/>
      <c r="HI107" s="571"/>
      <c r="HJ107" s="571"/>
      <c r="HK107" s="571"/>
      <c r="HL107" s="571"/>
      <c r="HM107" s="571"/>
      <c r="HN107" s="571"/>
      <c r="HO107" s="571"/>
      <c r="HP107" s="571"/>
      <c r="HQ107" s="571"/>
      <c r="HR107" s="571"/>
      <c r="HS107" s="571"/>
      <c r="HT107" s="571"/>
      <c r="HU107" s="571"/>
      <c r="HV107" s="571"/>
      <c r="HW107" s="571"/>
      <c r="HX107" s="571"/>
      <c r="HY107" s="571"/>
      <c r="HZ107" s="571"/>
      <c r="IA107" s="571"/>
      <c r="IB107" s="571"/>
      <c r="IC107" s="571"/>
      <c r="ID107" s="571"/>
      <c r="IE107" s="571"/>
      <c r="IF107" s="571"/>
      <c r="IG107" s="571"/>
      <c r="IH107" s="571"/>
      <c r="II107" s="571"/>
      <c r="IJ107" s="571"/>
      <c r="IK107" s="571"/>
      <c r="IL107" s="571"/>
      <c r="IM107" s="571"/>
      <c r="IN107" s="571"/>
      <c r="IO107" s="571"/>
      <c r="IP107" s="571"/>
      <c r="IQ107" s="571"/>
      <c r="IR107" s="571"/>
      <c r="IS107" s="571"/>
      <c r="IT107" s="571"/>
      <c r="IU107" s="571"/>
      <c r="IV107" s="571"/>
      <c r="IW107" s="571"/>
      <c r="IX107" s="571"/>
    </row>
    <row r="108" spans="1:258" s="314" customFormat="1" ht="50.25" customHeight="1" thickBot="1" x14ac:dyDescent="0.4">
      <c r="A108" s="647"/>
      <c r="B108" s="649"/>
      <c r="C108" s="651"/>
      <c r="D108" s="572" t="s">
        <v>5</v>
      </c>
      <c r="E108" s="573" t="s">
        <v>6</v>
      </c>
      <c r="F108" s="573" t="s">
        <v>7</v>
      </c>
      <c r="G108" s="573" t="s">
        <v>8</v>
      </c>
      <c r="H108" s="573" t="s">
        <v>9</v>
      </c>
      <c r="I108" s="574" t="s">
        <v>42</v>
      </c>
      <c r="J108" s="575" t="s">
        <v>43</v>
      </c>
      <c r="K108" s="572" t="s">
        <v>5</v>
      </c>
      <c r="L108" s="573" t="s">
        <v>6</v>
      </c>
      <c r="M108" s="573" t="s">
        <v>7</v>
      </c>
      <c r="N108" s="573" t="s">
        <v>8</v>
      </c>
      <c r="O108" s="573" t="s">
        <v>9</v>
      </c>
      <c r="P108" s="574" t="s">
        <v>42</v>
      </c>
      <c r="Q108" s="575" t="s">
        <v>43</v>
      </c>
      <c r="R108" s="572" t="s">
        <v>5</v>
      </c>
      <c r="S108" s="573" t="s">
        <v>6</v>
      </c>
      <c r="T108" s="573" t="s">
        <v>7</v>
      </c>
      <c r="U108" s="573" t="s">
        <v>8</v>
      </c>
      <c r="V108" s="573" t="s">
        <v>9</v>
      </c>
      <c r="W108" s="576" t="s">
        <v>10</v>
      </c>
      <c r="X108" s="571"/>
      <c r="Y108" s="571"/>
      <c r="Z108" s="577" t="s">
        <v>44</v>
      </c>
      <c r="AA108" s="571"/>
      <c r="AB108" s="571"/>
      <c r="AC108" s="571"/>
      <c r="AD108" s="571"/>
      <c r="AE108" s="571"/>
      <c r="AF108" s="571"/>
      <c r="AG108" s="571"/>
      <c r="AH108" s="571"/>
      <c r="AI108" s="571"/>
      <c r="AJ108" s="571"/>
      <c r="AK108" s="571"/>
      <c r="AL108" s="571"/>
      <c r="AM108" s="571"/>
      <c r="AN108" s="571"/>
      <c r="AO108" s="571"/>
      <c r="AP108" s="571"/>
      <c r="AQ108" s="571"/>
      <c r="AR108" s="571"/>
      <c r="AS108" s="571"/>
      <c r="AT108" s="571"/>
      <c r="AU108" s="571"/>
      <c r="AV108" s="571"/>
      <c r="AW108" s="571"/>
      <c r="AX108" s="571"/>
      <c r="AY108" s="571"/>
      <c r="AZ108" s="571"/>
      <c r="BA108" s="571"/>
      <c r="BB108" s="571"/>
      <c r="BC108" s="571"/>
      <c r="BD108" s="571"/>
      <c r="BE108" s="571"/>
      <c r="BF108" s="571"/>
      <c r="BG108" s="571"/>
      <c r="BH108" s="571"/>
      <c r="BI108" s="571"/>
      <c r="BJ108" s="571"/>
      <c r="BK108" s="571"/>
      <c r="BL108" s="571"/>
      <c r="BM108" s="571"/>
      <c r="BN108" s="571"/>
      <c r="BO108" s="571"/>
      <c r="BP108" s="571"/>
      <c r="BQ108" s="571"/>
      <c r="BR108" s="571"/>
      <c r="BS108" s="571"/>
      <c r="BT108" s="571"/>
      <c r="BU108" s="571"/>
      <c r="BV108" s="571"/>
      <c r="BW108" s="571"/>
      <c r="BX108" s="571"/>
      <c r="BY108" s="571"/>
      <c r="BZ108" s="571"/>
      <c r="CA108" s="571"/>
      <c r="CB108" s="571"/>
      <c r="CC108" s="571"/>
      <c r="CD108" s="571"/>
      <c r="CE108" s="571"/>
      <c r="CF108" s="571"/>
      <c r="CG108" s="571"/>
      <c r="CH108" s="571"/>
      <c r="CI108" s="571"/>
      <c r="CJ108" s="571"/>
      <c r="CK108" s="571"/>
      <c r="CL108" s="571"/>
      <c r="CM108" s="571"/>
      <c r="CN108" s="571"/>
      <c r="CO108" s="571"/>
      <c r="CP108" s="571"/>
      <c r="CQ108" s="571"/>
      <c r="CR108" s="571"/>
      <c r="CS108" s="571"/>
      <c r="CT108" s="571"/>
      <c r="CU108" s="571"/>
      <c r="CV108" s="571"/>
      <c r="CW108" s="571"/>
      <c r="CX108" s="571"/>
      <c r="CY108" s="571"/>
      <c r="CZ108" s="571"/>
      <c r="DA108" s="571"/>
      <c r="DB108" s="571"/>
      <c r="DC108" s="571"/>
      <c r="DD108" s="571"/>
      <c r="DE108" s="571"/>
      <c r="DF108" s="571"/>
      <c r="DG108" s="571"/>
      <c r="DH108" s="571"/>
      <c r="DI108" s="571"/>
      <c r="DJ108" s="571"/>
      <c r="DK108" s="571"/>
      <c r="DL108" s="571"/>
      <c r="DM108" s="571"/>
      <c r="DN108" s="571"/>
      <c r="DO108" s="571"/>
      <c r="DP108" s="571"/>
      <c r="DQ108" s="571"/>
      <c r="DR108" s="571"/>
      <c r="DS108" s="571"/>
      <c r="DT108" s="571"/>
      <c r="DU108" s="571"/>
      <c r="DV108" s="571"/>
      <c r="DW108" s="571"/>
      <c r="DX108" s="571"/>
      <c r="DY108" s="571"/>
      <c r="DZ108" s="571"/>
      <c r="EA108" s="571"/>
      <c r="EB108" s="571"/>
      <c r="EC108" s="571"/>
      <c r="ED108" s="571"/>
      <c r="EE108" s="571"/>
      <c r="EF108" s="571"/>
      <c r="EG108" s="571"/>
      <c r="EH108" s="571"/>
      <c r="EI108" s="571"/>
      <c r="EJ108" s="571"/>
      <c r="EK108" s="571"/>
      <c r="EL108" s="571"/>
      <c r="EM108" s="571"/>
      <c r="EN108" s="571"/>
      <c r="EO108" s="571"/>
      <c r="EP108" s="571"/>
      <c r="EQ108" s="571"/>
      <c r="ER108" s="571"/>
      <c r="ES108" s="571"/>
      <c r="ET108" s="571"/>
      <c r="EU108" s="571"/>
      <c r="EV108" s="571"/>
      <c r="EW108" s="571"/>
      <c r="EX108" s="571"/>
      <c r="EY108" s="571"/>
      <c r="EZ108" s="571"/>
      <c r="FA108" s="571"/>
      <c r="FB108" s="571"/>
      <c r="FC108" s="571"/>
      <c r="FD108" s="571"/>
      <c r="FE108" s="571"/>
      <c r="FF108" s="571"/>
      <c r="FG108" s="571"/>
      <c r="FH108" s="571"/>
      <c r="FI108" s="571"/>
      <c r="FJ108" s="571"/>
      <c r="FK108" s="571"/>
      <c r="FL108" s="571"/>
      <c r="FM108" s="571"/>
      <c r="FN108" s="571"/>
      <c r="FO108" s="571"/>
      <c r="FP108" s="571"/>
      <c r="FQ108" s="571"/>
      <c r="FR108" s="571"/>
      <c r="FS108" s="571"/>
      <c r="FT108" s="571"/>
      <c r="FU108" s="571"/>
      <c r="FV108" s="571"/>
      <c r="FW108" s="571"/>
      <c r="FX108" s="571"/>
      <c r="FY108" s="571"/>
      <c r="FZ108" s="571"/>
      <c r="GA108" s="571"/>
      <c r="GB108" s="571"/>
      <c r="GC108" s="571"/>
      <c r="GD108" s="571"/>
      <c r="GE108" s="571"/>
      <c r="GF108" s="571"/>
      <c r="GG108" s="571"/>
      <c r="GH108" s="571"/>
      <c r="GI108" s="571"/>
      <c r="GJ108" s="571"/>
      <c r="GK108" s="571"/>
      <c r="GL108" s="571"/>
      <c r="GM108" s="571"/>
      <c r="GN108" s="571"/>
      <c r="GO108" s="571"/>
      <c r="GP108" s="571"/>
      <c r="GQ108" s="571"/>
      <c r="GR108" s="571"/>
      <c r="GS108" s="571"/>
      <c r="GT108" s="571"/>
      <c r="GU108" s="571"/>
      <c r="GV108" s="571"/>
      <c r="GW108" s="571"/>
      <c r="GX108" s="571"/>
      <c r="GY108" s="571"/>
      <c r="GZ108" s="571"/>
      <c r="HA108" s="571"/>
      <c r="HB108" s="571"/>
      <c r="HC108" s="571"/>
      <c r="HD108" s="571"/>
      <c r="HE108" s="571"/>
      <c r="HF108" s="571"/>
      <c r="HG108" s="571"/>
      <c r="HH108" s="571"/>
      <c r="HI108" s="571"/>
      <c r="HJ108" s="571"/>
      <c r="HK108" s="571"/>
      <c r="HL108" s="571"/>
      <c r="HM108" s="571"/>
      <c r="HN108" s="571"/>
      <c r="HO108" s="571"/>
      <c r="HP108" s="571"/>
      <c r="HQ108" s="571"/>
      <c r="HR108" s="571"/>
      <c r="HS108" s="571"/>
      <c r="HT108" s="571"/>
      <c r="HU108" s="571"/>
      <c r="HV108" s="571"/>
      <c r="HW108" s="571"/>
      <c r="HX108" s="571"/>
      <c r="HY108" s="571"/>
      <c r="HZ108" s="571"/>
      <c r="IA108" s="571"/>
      <c r="IB108" s="571"/>
      <c r="IC108" s="571"/>
      <c r="ID108" s="571"/>
      <c r="IE108" s="571"/>
      <c r="IF108" s="571"/>
      <c r="IG108" s="571"/>
      <c r="IH108" s="571"/>
      <c r="II108" s="571"/>
      <c r="IJ108" s="571"/>
      <c r="IK108" s="571"/>
      <c r="IL108" s="571"/>
      <c r="IM108" s="571"/>
      <c r="IN108" s="571"/>
      <c r="IO108" s="571"/>
      <c r="IP108" s="571"/>
      <c r="IQ108" s="571"/>
      <c r="IR108" s="571"/>
      <c r="IS108" s="571"/>
      <c r="IT108" s="571"/>
      <c r="IU108" s="571"/>
      <c r="IV108" s="571"/>
      <c r="IW108" s="571"/>
      <c r="IX108" s="571"/>
    </row>
    <row r="109" spans="1:258" s="332" customFormat="1" ht="64.5" customHeight="1" x14ac:dyDescent="0.35">
      <c r="A109" s="324" t="s">
        <v>12</v>
      </c>
      <c r="B109" s="578" t="s">
        <v>13</v>
      </c>
      <c r="C109" s="579" t="s">
        <v>14</v>
      </c>
      <c r="D109" s="515">
        <f>E109+F109+G109+H109+I109</f>
        <v>417.9755888552923</v>
      </c>
      <c r="E109" s="516">
        <f>(E120-E110*E113)/(E111/1000*6)</f>
        <v>77.753014686905587</v>
      </c>
      <c r="F109" s="516">
        <f>(F120-F110*F113)/(F111/1000*6)</f>
        <v>7.1354319792814023</v>
      </c>
      <c r="G109" s="516">
        <f>(G120-G110*G113)/(G111/1000*6)</f>
        <v>128.83227176084571</v>
      </c>
      <c r="H109" s="516">
        <f>(H120-H110*H113)/(H111/1000*6)</f>
        <v>64.425903761592636</v>
      </c>
      <c r="I109" s="655">
        <v>139.82896666666699</v>
      </c>
      <c r="J109" s="656"/>
      <c r="K109" s="515">
        <f>L109+M109+N109+O109+P109</f>
        <v>435.75813878965801</v>
      </c>
      <c r="L109" s="516">
        <f>(L120-L110*L113)/(L111/1000*6)</f>
        <v>80.467701859146558</v>
      </c>
      <c r="M109" s="516">
        <f>(M120-M110*M113)/(M111/1000*6)</f>
        <v>6.961595898078242</v>
      </c>
      <c r="N109" s="516">
        <f>(N120-N110*N113)/(N111/1000*6)</f>
        <v>123.5535001236061</v>
      </c>
      <c r="O109" s="516">
        <f>(O120-O110*O113)/(O111/1000*6)</f>
        <v>62.294774242160138</v>
      </c>
      <c r="P109" s="655">
        <v>162.48056666666699</v>
      </c>
      <c r="Q109" s="657"/>
      <c r="R109" s="517">
        <f>(D109+K109)/2</f>
        <v>426.86686382247512</v>
      </c>
      <c r="S109" s="518">
        <f t="shared" ref="S109:V109" si="34">(E109+L109)/2</f>
        <v>79.110358273026065</v>
      </c>
      <c r="T109" s="519">
        <f t="shared" si="34"/>
        <v>7.0485139386798217</v>
      </c>
      <c r="U109" s="520">
        <f t="shared" si="34"/>
        <v>126.1928859422259</v>
      </c>
      <c r="V109" s="520">
        <f t="shared" si="34"/>
        <v>63.360339001876383</v>
      </c>
      <c r="W109" s="521">
        <f>(I109+P109)/2</f>
        <v>151.154766666667</v>
      </c>
      <c r="X109" s="571"/>
      <c r="Y109" s="571"/>
      <c r="Z109" s="577" t="s">
        <v>45</v>
      </c>
      <c r="AA109" s="571"/>
      <c r="AB109" s="571"/>
      <c r="AC109" s="571"/>
      <c r="AD109" s="571"/>
      <c r="AE109" s="571"/>
      <c r="AF109" s="571"/>
      <c r="AG109" s="571"/>
      <c r="AH109" s="571"/>
      <c r="AI109" s="571"/>
      <c r="AJ109" s="571"/>
      <c r="AK109" s="571"/>
      <c r="AL109" s="571"/>
      <c r="AM109" s="571"/>
      <c r="AN109" s="571"/>
      <c r="AO109" s="571"/>
      <c r="AP109" s="571"/>
      <c r="AQ109" s="571"/>
      <c r="AR109" s="571"/>
      <c r="AS109" s="571"/>
      <c r="AT109" s="571"/>
      <c r="AU109" s="571"/>
      <c r="AV109" s="571"/>
      <c r="AW109" s="571"/>
      <c r="AX109" s="571"/>
      <c r="AY109" s="571"/>
      <c r="AZ109" s="571"/>
      <c r="BA109" s="571"/>
      <c r="BB109" s="571"/>
      <c r="BC109" s="571"/>
      <c r="BD109" s="571"/>
      <c r="BE109" s="571"/>
      <c r="BF109" s="571"/>
      <c r="BG109" s="571"/>
      <c r="BH109" s="571"/>
      <c r="BI109" s="571"/>
      <c r="BJ109" s="571"/>
      <c r="BK109" s="571"/>
      <c r="BL109" s="571"/>
      <c r="BM109" s="571"/>
      <c r="BN109" s="571"/>
      <c r="BO109" s="571"/>
      <c r="BP109" s="571"/>
      <c r="BQ109" s="571"/>
      <c r="BR109" s="571"/>
      <c r="BS109" s="571"/>
      <c r="BT109" s="571"/>
      <c r="BU109" s="571"/>
      <c r="BV109" s="571"/>
      <c r="BW109" s="571"/>
      <c r="BX109" s="571"/>
      <c r="BY109" s="571"/>
      <c r="BZ109" s="571"/>
      <c r="CA109" s="571"/>
      <c r="CB109" s="571"/>
      <c r="CC109" s="571"/>
      <c r="CD109" s="571"/>
      <c r="CE109" s="571"/>
      <c r="CF109" s="571"/>
      <c r="CG109" s="571"/>
      <c r="CH109" s="571"/>
      <c r="CI109" s="571"/>
      <c r="CJ109" s="571"/>
      <c r="CK109" s="571"/>
      <c r="CL109" s="571"/>
      <c r="CM109" s="571"/>
      <c r="CN109" s="571"/>
      <c r="CO109" s="571"/>
      <c r="CP109" s="571"/>
      <c r="CQ109" s="571"/>
      <c r="CR109" s="571"/>
      <c r="CS109" s="571"/>
      <c r="CT109" s="571"/>
      <c r="CU109" s="571"/>
      <c r="CV109" s="571"/>
      <c r="CW109" s="571"/>
      <c r="CX109" s="571"/>
      <c r="CY109" s="571"/>
      <c r="CZ109" s="571"/>
      <c r="DA109" s="571"/>
      <c r="DB109" s="571"/>
      <c r="DC109" s="571"/>
      <c r="DD109" s="571"/>
      <c r="DE109" s="571"/>
      <c r="DF109" s="571"/>
      <c r="DG109" s="571"/>
      <c r="DH109" s="571"/>
      <c r="DI109" s="571"/>
      <c r="DJ109" s="571"/>
      <c r="DK109" s="571"/>
      <c r="DL109" s="571"/>
      <c r="DM109" s="571"/>
      <c r="DN109" s="571"/>
      <c r="DO109" s="571"/>
      <c r="DP109" s="571"/>
      <c r="DQ109" s="571"/>
      <c r="DR109" s="571"/>
      <c r="DS109" s="571"/>
      <c r="DT109" s="571"/>
      <c r="DU109" s="571"/>
      <c r="DV109" s="571"/>
      <c r="DW109" s="571"/>
      <c r="DX109" s="571"/>
      <c r="DY109" s="571"/>
      <c r="DZ109" s="571"/>
      <c r="EA109" s="571"/>
      <c r="EB109" s="571"/>
      <c r="EC109" s="571"/>
      <c r="ED109" s="571"/>
      <c r="EE109" s="571"/>
      <c r="EF109" s="571"/>
      <c r="EG109" s="571"/>
      <c r="EH109" s="571"/>
      <c r="EI109" s="571"/>
      <c r="EJ109" s="571"/>
      <c r="EK109" s="571"/>
      <c r="EL109" s="571"/>
      <c r="EM109" s="571"/>
      <c r="EN109" s="571"/>
      <c r="EO109" s="571"/>
      <c r="EP109" s="571"/>
      <c r="EQ109" s="571"/>
      <c r="ER109" s="571"/>
      <c r="ES109" s="571"/>
      <c r="ET109" s="571"/>
      <c r="EU109" s="571"/>
      <c r="EV109" s="571"/>
      <c r="EW109" s="571"/>
      <c r="EX109" s="571"/>
      <c r="EY109" s="571"/>
      <c r="EZ109" s="571"/>
      <c r="FA109" s="571"/>
      <c r="FB109" s="571"/>
      <c r="FC109" s="571"/>
      <c r="FD109" s="571"/>
      <c r="FE109" s="571"/>
      <c r="FF109" s="571"/>
      <c r="FG109" s="571"/>
      <c r="FH109" s="571"/>
      <c r="FI109" s="571"/>
      <c r="FJ109" s="571"/>
      <c r="FK109" s="571"/>
      <c r="FL109" s="571"/>
      <c r="FM109" s="571"/>
      <c r="FN109" s="571"/>
      <c r="FO109" s="571"/>
      <c r="FP109" s="571"/>
      <c r="FQ109" s="571"/>
      <c r="FR109" s="571"/>
      <c r="FS109" s="571"/>
      <c r="FT109" s="571"/>
      <c r="FU109" s="571"/>
      <c r="FV109" s="571"/>
      <c r="FW109" s="571"/>
      <c r="FX109" s="571"/>
      <c r="FY109" s="571"/>
      <c r="FZ109" s="571"/>
      <c r="GA109" s="571"/>
      <c r="GB109" s="571"/>
      <c r="GC109" s="571"/>
      <c r="GD109" s="571"/>
      <c r="GE109" s="571"/>
      <c r="GF109" s="571"/>
      <c r="GG109" s="571"/>
      <c r="GH109" s="571"/>
      <c r="GI109" s="571"/>
      <c r="GJ109" s="571"/>
      <c r="GK109" s="571"/>
      <c r="GL109" s="571"/>
      <c r="GM109" s="571"/>
      <c r="GN109" s="571"/>
      <c r="GO109" s="571"/>
      <c r="GP109" s="571"/>
      <c r="GQ109" s="571"/>
      <c r="GR109" s="571"/>
      <c r="GS109" s="571"/>
      <c r="GT109" s="571"/>
      <c r="GU109" s="571"/>
      <c r="GV109" s="571"/>
      <c r="GW109" s="571"/>
      <c r="GX109" s="571"/>
      <c r="GY109" s="571"/>
      <c r="GZ109" s="571"/>
      <c r="HA109" s="571"/>
      <c r="HB109" s="571"/>
      <c r="HC109" s="571"/>
      <c r="HD109" s="571"/>
      <c r="HE109" s="571"/>
      <c r="HF109" s="571"/>
      <c r="HG109" s="571"/>
      <c r="HH109" s="571"/>
      <c r="HI109" s="571"/>
      <c r="HJ109" s="571"/>
      <c r="HK109" s="571"/>
      <c r="HL109" s="571"/>
      <c r="HM109" s="571"/>
      <c r="HN109" s="571"/>
      <c r="HO109" s="571"/>
      <c r="HP109" s="571"/>
      <c r="HQ109" s="571"/>
      <c r="HR109" s="571"/>
      <c r="HS109" s="571"/>
      <c r="HT109" s="571"/>
      <c r="HU109" s="571"/>
      <c r="HV109" s="571"/>
      <c r="HW109" s="571"/>
      <c r="HX109" s="571"/>
      <c r="HY109" s="571"/>
      <c r="HZ109" s="571"/>
      <c r="IA109" s="571"/>
      <c r="IB109" s="571"/>
      <c r="IC109" s="571"/>
      <c r="ID109" s="571"/>
      <c r="IE109" s="571"/>
      <c r="IF109" s="571"/>
      <c r="IG109" s="571"/>
      <c r="IH109" s="571"/>
      <c r="II109" s="571"/>
      <c r="IJ109" s="571"/>
      <c r="IK109" s="571"/>
      <c r="IL109" s="571"/>
      <c r="IM109" s="571"/>
      <c r="IN109" s="571"/>
      <c r="IO109" s="571"/>
      <c r="IP109" s="571"/>
      <c r="IQ109" s="571"/>
      <c r="IR109" s="571"/>
      <c r="IS109" s="571"/>
      <c r="IT109" s="571"/>
      <c r="IU109" s="571"/>
      <c r="IV109" s="571"/>
      <c r="IW109" s="571"/>
      <c r="IX109" s="571"/>
    </row>
    <row r="110" spans="1:258" s="332" customFormat="1" ht="67.5" customHeight="1" x14ac:dyDescent="0.35">
      <c r="A110" s="324" t="s">
        <v>15</v>
      </c>
      <c r="B110" s="578" t="s">
        <v>16</v>
      </c>
      <c r="C110" s="579" t="s">
        <v>17</v>
      </c>
      <c r="D110" s="515">
        <f>SUM(E110:J110)</f>
        <v>1378.6762000000001</v>
      </c>
      <c r="E110" s="522">
        <f>312.07582595341+20</f>
        <v>332.07582595341</v>
      </c>
      <c r="F110" s="522">
        <v>22.291435883468267</v>
      </c>
      <c r="G110" s="522">
        <f>398.882242958154-20</f>
        <v>378.882242958154</v>
      </c>
      <c r="H110" s="522">
        <f>225.935095204968</f>
        <v>225.93509520496801</v>
      </c>
      <c r="I110" s="522">
        <f>419.4916-J110</f>
        <v>257.13020000000006</v>
      </c>
      <c r="J110" s="522">
        <f>15.6983+146.6631</f>
        <v>162.36139999999997</v>
      </c>
      <c r="K110" s="515">
        <f>SUM(L110:Q110)</f>
        <v>1434.685931572378</v>
      </c>
      <c r="L110" s="522">
        <f>334.72+10-8.6+9-10+5+2+1.5-0.1+0.2-0.05</f>
        <v>343.66999999999996</v>
      </c>
      <c r="M110" s="522">
        <v>21.748363527144875</v>
      </c>
      <c r="N110" s="522">
        <f>397.957927422572-40+8.6+10-15+2-1.5+1+0.4-0.21+0.03+0.05+0.03</f>
        <v>363.357927422572</v>
      </c>
      <c r="O110" s="522">
        <f>192.811440622661+40-9-2-2-1-0.3-0.02-0.03</f>
        <v>218.46144062266097</v>
      </c>
      <c r="P110" s="522">
        <f>487.4482-Q110</f>
        <v>309.07939999999996</v>
      </c>
      <c r="Q110" s="522">
        <f>23.3764+154.9924</f>
        <v>178.36879999999999</v>
      </c>
      <c r="R110" s="523">
        <f>S110+T110+U110+V110+W110</f>
        <v>2813.3621315723781</v>
      </c>
      <c r="S110" s="524">
        <f>E110+L110</f>
        <v>675.74582595340996</v>
      </c>
      <c r="T110" s="522">
        <f>F110+M110</f>
        <v>44.039799410613142</v>
      </c>
      <c r="U110" s="522">
        <f>G110+N110</f>
        <v>742.240170380726</v>
      </c>
      <c r="V110" s="522">
        <f>H110+O110</f>
        <v>444.39653582762901</v>
      </c>
      <c r="W110" s="525">
        <f>I110+J110+P110+Q110</f>
        <v>906.93979999999999</v>
      </c>
      <c r="X110" s="571"/>
      <c r="Y110" s="580">
        <f>W110/W109</f>
        <v>6.0000740962408594</v>
      </c>
      <c r="Z110" s="577"/>
      <c r="AA110" s="571"/>
      <c r="AB110" s="571"/>
      <c r="AC110" s="571"/>
      <c r="AD110" s="571"/>
      <c r="AE110" s="571"/>
      <c r="AF110" s="571"/>
      <c r="AG110" s="571"/>
      <c r="AH110" s="571"/>
      <c r="AI110" s="571"/>
      <c r="AJ110" s="571"/>
      <c r="AK110" s="571"/>
      <c r="AL110" s="571"/>
      <c r="AM110" s="571"/>
      <c r="AN110" s="571"/>
      <c r="AO110" s="571"/>
      <c r="AP110" s="571"/>
      <c r="AQ110" s="571"/>
      <c r="AR110" s="571"/>
      <c r="AS110" s="571"/>
      <c r="AT110" s="571"/>
      <c r="AU110" s="571"/>
      <c r="AV110" s="571"/>
      <c r="AW110" s="571"/>
      <c r="AX110" s="571"/>
      <c r="AY110" s="571"/>
      <c r="AZ110" s="571"/>
      <c r="BA110" s="571"/>
      <c r="BB110" s="571"/>
      <c r="BC110" s="571"/>
      <c r="BD110" s="571"/>
      <c r="BE110" s="571"/>
      <c r="BF110" s="571"/>
      <c r="BG110" s="571"/>
      <c r="BH110" s="571"/>
      <c r="BI110" s="571"/>
      <c r="BJ110" s="571"/>
      <c r="BK110" s="571"/>
      <c r="BL110" s="571"/>
      <c r="BM110" s="571"/>
      <c r="BN110" s="571"/>
      <c r="BO110" s="571"/>
      <c r="BP110" s="571"/>
      <c r="BQ110" s="571"/>
      <c r="BR110" s="571"/>
      <c r="BS110" s="571"/>
      <c r="BT110" s="571"/>
      <c r="BU110" s="571"/>
      <c r="BV110" s="571"/>
      <c r="BW110" s="571"/>
      <c r="BX110" s="571"/>
      <c r="BY110" s="571"/>
      <c r="BZ110" s="571"/>
      <c r="CA110" s="571"/>
      <c r="CB110" s="571"/>
      <c r="CC110" s="571"/>
      <c r="CD110" s="571"/>
      <c r="CE110" s="571"/>
      <c r="CF110" s="571"/>
      <c r="CG110" s="571"/>
      <c r="CH110" s="571"/>
      <c r="CI110" s="571"/>
      <c r="CJ110" s="571"/>
      <c r="CK110" s="571"/>
      <c r="CL110" s="571"/>
      <c r="CM110" s="571"/>
      <c r="CN110" s="571"/>
      <c r="CO110" s="571"/>
      <c r="CP110" s="571"/>
      <c r="CQ110" s="571"/>
      <c r="CR110" s="571"/>
      <c r="CS110" s="571"/>
      <c r="CT110" s="571"/>
      <c r="CU110" s="571"/>
      <c r="CV110" s="571"/>
      <c r="CW110" s="571"/>
      <c r="CX110" s="571"/>
      <c r="CY110" s="571"/>
      <c r="CZ110" s="571"/>
      <c r="DA110" s="571"/>
      <c r="DB110" s="571"/>
      <c r="DC110" s="571"/>
      <c r="DD110" s="571"/>
      <c r="DE110" s="571"/>
      <c r="DF110" s="571"/>
      <c r="DG110" s="571"/>
      <c r="DH110" s="571"/>
      <c r="DI110" s="571"/>
      <c r="DJ110" s="571"/>
      <c r="DK110" s="571"/>
      <c r="DL110" s="571"/>
      <c r="DM110" s="571"/>
      <c r="DN110" s="571"/>
      <c r="DO110" s="571"/>
      <c r="DP110" s="571"/>
      <c r="DQ110" s="571"/>
      <c r="DR110" s="571"/>
      <c r="DS110" s="571"/>
      <c r="DT110" s="571"/>
      <c r="DU110" s="571"/>
      <c r="DV110" s="571"/>
      <c r="DW110" s="571"/>
      <c r="DX110" s="571"/>
      <c r="DY110" s="571"/>
      <c r="DZ110" s="571"/>
      <c r="EA110" s="571"/>
      <c r="EB110" s="571"/>
      <c r="EC110" s="571"/>
      <c r="ED110" s="571"/>
      <c r="EE110" s="571"/>
      <c r="EF110" s="571"/>
      <c r="EG110" s="571"/>
      <c r="EH110" s="571"/>
      <c r="EI110" s="571"/>
      <c r="EJ110" s="571"/>
      <c r="EK110" s="571"/>
      <c r="EL110" s="571"/>
      <c r="EM110" s="571"/>
      <c r="EN110" s="571"/>
      <c r="EO110" s="571"/>
      <c r="EP110" s="571"/>
      <c r="EQ110" s="571"/>
      <c r="ER110" s="571"/>
      <c r="ES110" s="571"/>
      <c r="ET110" s="571"/>
      <c r="EU110" s="571"/>
      <c r="EV110" s="571"/>
      <c r="EW110" s="571"/>
      <c r="EX110" s="571"/>
      <c r="EY110" s="571"/>
      <c r="EZ110" s="571"/>
      <c r="FA110" s="571"/>
      <c r="FB110" s="571"/>
      <c r="FC110" s="571"/>
      <c r="FD110" s="571"/>
      <c r="FE110" s="571"/>
      <c r="FF110" s="571"/>
      <c r="FG110" s="571"/>
      <c r="FH110" s="571"/>
      <c r="FI110" s="571"/>
      <c r="FJ110" s="571"/>
      <c r="FK110" s="571"/>
      <c r="FL110" s="571"/>
      <c r="FM110" s="571"/>
      <c r="FN110" s="571"/>
      <c r="FO110" s="571"/>
      <c r="FP110" s="571"/>
      <c r="FQ110" s="571"/>
      <c r="FR110" s="571"/>
      <c r="FS110" s="571"/>
      <c r="FT110" s="571"/>
      <c r="FU110" s="571"/>
      <c r="FV110" s="571"/>
      <c r="FW110" s="571"/>
      <c r="FX110" s="571"/>
      <c r="FY110" s="571"/>
      <c r="FZ110" s="571"/>
      <c r="GA110" s="571"/>
      <c r="GB110" s="571"/>
      <c r="GC110" s="571"/>
      <c r="GD110" s="571"/>
      <c r="GE110" s="571"/>
      <c r="GF110" s="571"/>
      <c r="GG110" s="571"/>
      <c r="GH110" s="571"/>
      <c r="GI110" s="571"/>
      <c r="GJ110" s="571"/>
      <c r="GK110" s="571"/>
      <c r="GL110" s="571"/>
      <c r="GM110" s="571"/>
      <c r="GN110" s="571"/>
      <c r="GO110" s="571"/>
      <c r="GP110" s="571"/>
      <c r="GQ110" s="571"/>
      <c r="GR110" s="571"/>
      <c r="GS110" s="571"/>
      <c r="GT110" s="571"/>
      <c r="GU110" s="571"/>
      <c r="GV110" s="571"/>
      <c r="GW110" s="571"/>
      <c r="GX110" s="571"/>
      <c r="GY110" s="571"/>
      <c r="GZ110" s="571"/>
      <c r="HA110" s="571"/>
      <c r="HB110" s="571"/>
      <c r="HC110" s="571"/>
      <c r="HD110" s="571"/>
      <c r="HE110" s="571"/>
      <c r="HF110" s="571"/>
      <c r="HG110" s="571"/>
      <c r="HH110" s="571"/>
      <c r="HI110" s="571"/>
      <c r="HJ110" s="571"/>
      <c r="HK110" s="571"/>
      <c r="HL110" s="571"/>
      <c r="HM110" s="571"/>
      <c r="HN110" s="571"/>
      <c r="HO110" s="571"/>
      <c r="HP110" s="571"/>
      <c r="HQ110" s="571"/>
      <c r="HR110" s="571"/>
      <c r="HS110" s="571"/>
      <c r="HT110" s="571"/>
      <c r="HU110" s="571"/>
      <c r="HV110" s="571"/>
      <c r="HW110" s="571"/>
      <c r="HX110" s="571"/>
      <c r="HY110" s="571"/>
      <c r="HZ110" s="571"/>
      <c r="IA110" s="571"/>
      <c r="IB110" s="571"/>
      <c r="IC110" s="571"/>
      <c r="ID110" s="571"/>
      <c r="IE110" s="571"/>
      <c r="IF110" s="571"/>
      <c r="IG110" s="571"/>
      <c r="IH110" s="571"/>
      <c r="II110" s="571"/>
      <c r="IJ110" s="571"/>
      <c r="IK110" s="571"/>
      <c r="IL110" s="571"/>
      <c r="IM110" s="571"/>
      <c r="IN110" s="571"/>
      <c r="IO110" s="571"/>
      <c r="IP110" s="571"/>
      <c r="IQ110" s="571"/>
      <c r="IR110" s="571"/>
      <c r="IS110" s="571"/>
      <c r="IT110" s="571"/>
      <c r="IU110" s="571"/>
      <c r="IV110" s="571"/>
      <c r="IW110" s="571"/>
      <c r="IX110" s="571"/>
    </row>
    <row r="111" spans="1:258" s="332" customFormat="1" ht="64.5" customHeight="1" x14ac:dyDescent="0.35">
      <c r="A111" s="324" t="s">
        <v>18</v>
      </c>
      <c r="B111" s="581" t="s">
        <v>19</v>
      </c>
      <c r="C111" s="579" t="s">
        <v>20</v>
      </c>
      <c r="D111" s="526"/>
      <c r="E111" s="527">
        <v>600332.80000000005</v>
      </c>
      <c r="F111" s="527">
        <v>534149.81999999995</v>
      </c>
      <c r="G111" s="527">
        <v>779053.01</v>
      </c>
      <c r="H111" s="527">
        <v>1156534.1599999999</v>
      </c>
      <c r="I111" s="527"/>
      <c r="J111" s="528"/>
      <c r="K111" s="526"/>
      <c r="L111" s="527">
        <f>E111*1.03</f>
        <v>618342.7840000001</v>
      </c>
      <c r="M111" s="527">
        <f>F111*1.03</f>
        <v>550174.31459999993</v>
      </c>
      <c r="N111" s="527">
        <f>G111*1.03</f>
        <v>802424.60030000005</v>
      </c>
      <c r="O111" s="527">
        <f>H111*1.03</f>
        <v>1191230.1847999999</v>
      </c>
      <c r="P111" s="527"/>
      <c r="Q111" s="529"/>
      <c r="R111" s="530"/>
      <c r="S111" s="522"/>
      <c r="T111" s="522"/>
      <c r="U111" s="522"/>
      <c r="V111" s="522"/>
      <c r="W111" s="531"/>
      <c r="X111" s="571"/>
      <c r="Y111" s="571"/>
      <c r="Z111" s="577"/>
      <c r="AA111" s="571"/>
      <c r="AB111" s="571"/>
      <c r="AC111" s="571"/>
      <c r="AD111" s="571"/>
      <c r="AE111" s="571"/>
      <c r="AF111" s="571"/>
      <c r="AG111" s="571"/>
      <c r="AH111" s="571"/>
      <c r="AI111" s="571"/>
      <c r="AJ111" s="571"/>
      <c r="AK111" s="571"/>
      <c r="AL111" s="571"/>
      <c r="AM111" s="571"/>
      <c r="AN111" s="571"/>
      <c r="AO111" s="571"/>
      <c r="AP111" s="571"/>
      <c r="AQ111" s="571"/>
      <c r="AR111" s="571"/>
      <c r="AS111" s="571"/>
      <c r="AT111" s="571"/>
      <c r="AU111" s="571"/>
      <c r="AV111" s="571"/>
      <c r="AW111" s="571"/>
      <c r="AX111" s="571"/>
      <c r="AY111" s="571"/>
      <c r="AZ111" s="571"/>
      <c r="BA111" s="571"/>
      <c r="BB111" s="571"/>
      <c r="BC111" s="571"/>
      <c r="BD111" s="571"/>
      <c r="BE111" s="571"/>
      <c r="BF111" s="571"/>
      <c r="BG111" s="571"/>
      <c r="BH111" s="571"/>
      <c r="BI111" s="571"/>
      <c r="BJ111" s="571"/>
      <c r="BK111" s="571"/>
      <c r="BL111" s="571"/>
      <c r="BM111" s="571"/>
      <c r="BN111" s="571"/>
      <c r="BO111" s="571"/>
      <c r="BP111" s="571"/>
      <c r="BQ111" s="571"/>
      <c r="BR111" s="571"/>
      <c r="BS111" s="571"/>
      <c r="BT111" s="571"/>
      <c r="BU111" s="571"/>
      <c r="BV111" s="571"/>
      <c r="BW111" s="571"/>
      <c r="BX111" s="571"/>
      <c r="BY111" s="571"/>
      <c r="BZ111" s="571"/>
      <c r="CA111" s="571"/>
      <c r="CB111" s="571"/>
      <c r="CC111" s="571"/>
      <c r="CD111" s="571"/>
      <c r="CE111" s="571"/>
      <c r="CF111" s="571"/>
      <c r="CG111" s="571"/>
      <c r="CH111" s="571"/>
      <c r="CI111" s="571"/>
      <c r="CJ111" s="571"/>
      <c r="CK111" s="571"/>
      <c r="CL111" s="571"/>
      <c r="CM111" s="571"/>
      <c r="CN111" s="571"/>
      <c r="CO111" s="571"/>
      <c r="CP111" s="571"/>
      <c r="CQ111" s="571"/>
      <c r="CR111" s="571"/>
      <c r="CS111" s="571"/>
      <c r="CT111" s="571"/>
      <c r="CU111" s="571"/>
      <c r="CV111" s="571"/>
      <c r="CW111" s="571"/>
      <c r="CX111" s="571"/>
      <c r="CY111" s="571"/>
      <c r="CZ111" s="571"/>
      <c r="DA111" s="571"/>
      <c r="DB111" s="571"/>
      <c r="DC111" s="571"/>
      <c r="DD111" s="571"/>
      <c r="DE111" s="571"/>
      <c r="DF111" s="571"/>
      <c r="DG111" s="571"/>
      <c r="DH111" s="571"/>
      <c r="DI111" s="571"/>
      <c r="DJ111" s="571"/>
      <c r="DK111" s="571"/>
      <c r="DL111" s="571"/>
      <c r="DM111" s="571"/>
      <c r="DN111" s="571"/>
      <c r="DO111" s="571"/>
      <c r="DP111" s="571"/>
      <c r="DQ111" s="571"/>
      <c r="DR111" s="571"/>
      <c r="DS111" s="571"/>
      <c r="DT111" s="571"/>
      <c r="DU111" s="571"/>
      <c r="DV111" s="571"/>
      <c r="DW111" s="571"/>
      <c r="DX111" s="571"/>
      <c r="DY111" s="571"/>
      <c r="DZ111" s="571"/>
      <c r="EA111" s="571"/>
      <c r="EB111" s="571"/>
      <c r="EC111" s="571"/>
      <c r="ED111" s="571"/>
      <c r="EE111" s="571"/>
      <c r="EF111" s="571"/>
      <c r="EG111" s="571"/>
      <c r="EH111" s="571"/>
      <c r="EI111" s="571"/>
      <c r="EJ111" s="571"/>
      <c r="EK111" s="571"/>
      <c r="EL111" s="571"/>
      <c r="EM111" s="571"/>
      <c r="EN111" s="571"/>
      <c r="EO111" s="571"/>
      <c r="EP111" s="571"/>
      <c r="EQ111" s="571"/>
      <c r="ER111" s="571"/>
      <c r="ES111" s="571"/>
      <c r="ET111" s="571"/>
      <c r="EU111" s="571"/>
      <c r="EV111" s="571"/>
      <c r="EW111" s="571"/>
      <c r="EX111" s="571"/>
      <c r="EY111" s="571"/>
      <c r="EZ111" s="571"/>
      <c r="FA111" s="571"/>
      <c r="FB111" s="571"/>
      <c r="FC111" s="571"/>
      <c r="FD111" s="571"/>
      <c r="FE111" s="571"/>
      <c r="FF111" s="571"/>
      <c r="FG111" s="571"/>
      <c r="FH111" s="571"/>
      <c r="FI111" s="571"/>
      <c r="FJ111" s="571"/>
      <c r="FK111" s="571"/>
      <c r="FL111" s="571"/>
      <c r="FM111" s="571"/>
      <c r="FN111" s="571"/>
      <c r="FO111" s="571"/>
      <c r="FP111" s="571"/>
      <c r="FQ111" s="571"/>
      <c r="FR111" s="571"/>
      <c r="FS111" s="571"/>
      <c r="FT111" s="571"/>
      <c r="FU111" s="571"/>
      <c r="FV111" s="571"/>
      <c r="FW111" s="571"/>
      <c r="FX111" s="571"/>
      <c r="FY111" s="571"/>
      <c r="FZ111" s="571"/>
      <c r="GA111" s="571"/>
      <c r="GB111" s="571"/>
      <c r="GC111" s="571"/>
      <c r="GD111" s="571"/>
      <c r="GE111" s="571"/>
      <c r="GF111" s="571"/>
      <c r="GG111" s="571"/>
      <c r="GH111" s="571"/>
      <c r="GI111" s="571"/>
      <c r="GJ111" s="571"/>
      <c r="GK111" s="571"/>
      <c r="GL111" s="571"/>
      <c r="GM111" s="571"/>
      <c r="GN111" s="571"/>
      <c r="GO111" s="571"/>
      <c r="GP111" s="571"/>
      <c r="GQ111" s="571"/>
      <c r="GR111" s="571"/>
      <c r="GS111" s="571"/>
      <c r="GT111" s="571"/>
      <c r="GU111" s="571"/>
      <c r="GV111" s="571"/>
      <c r="GW111" s="571"/>
      <c r="GX111" s="571"/>
      <c r="GY111" s="571"/>
      <c r="GZ111" s="571"/>
      <c r="HA111" s="571"/>
      <c r="HB111" s="571"/>
      <c r="HC111" s="571"/>
      <c r="HD111" s="571"/>
      <c r="HE111" s="571"/>
      <c r="HF111" s="571"/>
      <c r="HG111" s="571"/>
      <c r="HH111" s="571"/>
      <c r="HI111" s="571"/>
      <c r="HJ111" s="571"/>
      <c r="HK111" s="571"/>
      <c r="HL111" s="571"/>
      <c r="HM111" s="571"/>
      <c r="HN111" s="571"/>
      <c r="HO111" s="571"/>
      <c r="HP111" s="571"/>
      <c r="HQ111" s="571"/>
      <c r="HR111" s="571"/>
      <c r="HS111" s="571"/>
      <c r="HT111" s="571"/>
      <c r="HU111" s="571"/>
      <c r="HV111" s="571"/>
      <c r="HW111" s="571"/>
      <c r="HX111" s="571"/>
      <c r="HY111" s="571"/>
      <c r="HZ111" s="571"/>
      <c r="IA111" s="571"/>
      <c r="IB111" s="571"/>
      <c r="IC111" s="571"/>
      <c r="ID111" s="571"/>
      <c r="IE111" s="571"/>
      <c r="IF111" s="571"/>
      <c r="IG111" s="571"/>
      <c r="IH111" s="571"/>
      <c r="II111" s="571"/>
      <c r="IJ111" s="571"/>
      <c r="IK111" s="571"/>
      <c r="IL111" s="571"/>
      <c r="IM111" s="571"/>
      <c r="IN111" s="571"/>
      <c r="IO111" s="571"/>
      <c r="IP111" s="571"/>
      <c r="IQ111" s="571"/>
      <c r="IR111" s="571"/>
      <c r="IS111" s="571"/>
      <c r="IT111" s="571"/>
      <c r="IU111" s="571"/>
      <c r="IV111" s="571"/>
      <c r="IW111" s="571"/>
      <c r="IX111" s="571"/>
    </row>
    <row r="112" spans="1:258" s="332" customFormat="1" ht="31.5" customHeight="1" x14ac:dyDescent="0.35">
      <c r="A112" s="324"/>
      <c r="B112" s="582" t="s">
        <v>27</v>
      </c>
      <c r="C112" s="579"/>
      <c r="D112" s="526"/>
      <c r="E112" s="532"/>
      <c r="F112" s="532"/>
      <c r="G112" s="532"/>
      <c r="H112" s="532"/>
      <c r="I112" s="532"/>
      <c r="J112" s="532"/>
      <c r="K112" s="526"/>
      <c r="L112" s="532">
        <f>L111/E111*100</f>
        <v>103</v>
      </c>
      <c r="M112" s="532">
        <f>M111/F111*100</f>
        <v>103</v>
      </c>
      <c r="N112" s="532">
        <f>N111/G111*100</f>
        <v>103</v>
      </c>
      <c r="O112" s="532">
        <f>O111/H111*100</f>
        <v>103</v>
      </c>
      <c r="P112" s="527"/>
      <c r="Q112" s="533"/>
      <c r="R112" s="534"/>
      <c r="S112" s="535"/>
      <c r="T112" s="535"/>
      <c r="U112" s="535"/>
      <c r="V112" s="535"/>
      <c r="W112" s="531"/>
      <c r="X112" s="571"/>
      <c r="Y112" s="571"/>
      <c r="Z112" s="577"/>
      <c r="AA112" s="571"/>
      <c r="AB112" s="571"/>
      <c r="AC112" s="571"/>
      <c r="AD112" s="571"/>
      <c r="AE112" s="571"/>
      <c r="AF112" s="571"/>
      <c r="AG112" s="571"/>
      <c r="AH112" s="571"/>
      <c r="AI112" s="571"/>
      <c r="AJ112" s="571"/>
      <c r="AK112" s="571"/>
      <c r="AL112" s="571"/>
      <c r="AM112" s="571"/>
      <c r="AN112" s="571"/>
      <c r="AO112" s="571"/>
      <c r="AP112" s="571"/>
      <c r="AQ112" s="571"/>
      <c r="AR112" s="571"/>
      <c r="AS112" s="571"/>
      <c r="AT112" s="571"/>
      <c r="AU112" s="571"/>
      <c r="AV112" s="571"/>
      <c r="AW112" s="571"/>
      <c r="AX112" s="571"/>
      <c r="AY112" s="571"/>
      <c r="AZ112" s="571"/>
      <c r="BA112" s="571"/>
      <c r="BB112" s="571"/>
      <c r="BC112" s="571"/>
      <c r="BD112" s="571"/>
      <c r="BE112" s="571"/>
      <c r="BF112" s="571"/>
      <c r="BG112" s="571"/>
      <c r="BH112" s="571"/>
      <c r="BI112" s="571"/>
      <c r="BJ112" s="571"/>
      <c r="BK112" s="571"/>
      <c r="BL112" s="571"/>
      <c r="BM112" s="571"/>
      <c r="BN112" s="571"/>
      <c r="BO112" s="571"/>
      <c r="BP112" s="571"/>
      <c r="BQ112" s="571"/>
      <c r="BR112" s="571"/>
      <c r="BS112" s="571"/>
      <c r="BT112" s="571"/>
      <c r="BU112" s="571"/>
      <c r="BV112" s="571"/>
      <c r="BW112" s="571"/>
      <c r="BX112" s="571"/>
      <c r="BY112" s="571"/>
      <c r="BZ112" s="571"/>
      <c r="CA112" s="571"/>
      <c r="CB112" s="571"/>
      <c r="CC112" s="571"/>
      <c r="CD112" s="571"/>
      <c r="CE112" s="571"/>
      <c r="CF112" s="571"/>
      <c r="CG112" s="571"/>
      <c r="CH112" s="571"/>
      <c r="CI112" s="571"/>
      <c r="CJ112" s="571"/>
      <c r="CK112" s="571"/>
      <c r="CL112" s="571"/>
      <c r="CM112" s="571"/>
      <c r="CN112" s="571"/>
      <c r="CO112" s="571"/>
      <c r="CP112" s="571"/>
      <c r="CQ112" s="571"/>
      <c r="CR112" s="571"/>
      <c r="CS112" s="571"/>
      <c r="CT112" s="571"/>
      <c r="CU112" s="571"/>
      <c r="CV112" s="571"/>
      <c r="CW112" s="571"/>
      <c r="CX112" s="571"/>
      <c r="CY112" s="571"/>
      <c r="CZ112" s="571"/>
      <c r="DA112" s="571"/>
      <c r="DB112" s="571"/>
      <c r="DC112" s="571"/>
      <c r="DD112" s="571"/>
      <c r="DE112" s="571"/>
      <c r="DF112" s="571"/>
      <c r="DG112" s="571"/>
      <c r="DH112" s="571"/>
      <c r="DI112" s="571"/>
      <c r="DJ112" s="571"/>
      <c r="DK112" s="571"/>
      <c r="DL112" s="571"/>
      <c r="DM112" s="571"/>
      <c r="DN112" s="571"/>
      <c r="DO112" s="571"/>
      <c r="DP112" s="571"/>
      <c r="DQ112" s="571"/>
      <c r="DR112" s="571"/>
      <c r="DS112" s="571"/>
      <c r="DT112" s="571"/>
      <c r="DU112" s="571"/>
      <c r="DV112" s="571"/>
      <c r="DW112" s="571"/>
      <c r="DX112" s="571"/>
      <c r="DY112" s="571"/>
      <c r="DZ112" s="571"/>
      <c r="EA112" s="571"/>
      <c r="EB112" s="571"/>
      <c r="EC112" s="571"/>
      <c r="ED112" s="571"/>
      <c r="EE112" s="571"/>
      <c r="EF112" s="571"/>
      <c r="EG112" s="571"/>
      <c r="EH112" s="571"/>
      <c r="EI112" s="571"/>
      <c r="EJ112" s="571"/>
      <c r="EK112" s="571"/>
      <c r="EL112" s="571"/>
      <c r="EM112" s="571"/>
      <c r="EN112" s="571"/>
      <c r="EO112" s="571"/>
      <c r="EP112" s="571"/>
      <c r="EQ112" s="571"/>
      <c r="ER112" s="571"/>
      <c r="ES112" s="571"/>
      <c r="ET112" s="571"/>
      <c r="EU112" s="571"/>
      <c r="EV112" s="571"/>
      <c r="EW112" s="571"/>
      <c r="EX112" s="571"/>
      <c r="EY112" s="571"/>
      <c r="EZ112" s="571"/>
      <c r="FA112" s="571"/>
      <c r="FB112" s="571"/>
      <c r="FC112" s="571"/>
      <c r="FD112" s="571"/>
      <c r="FE112" s="571"/>
      <c r="FF112" s="571"/>
      <c r="FG112" s="571"/>
      <c r="FH112" s="571"/>
      <c r="FI112" s="571"/>
      <c r="FJ112" s="571"/>
      <c r="FK112" s="571"/>
      <c r="FL112" s="571"/>
      <c r="FM112" s="571"/>
      <c r="FN112" s="571"/>
      <c r="FO112" s="571"/>
      <c r="FP112" s="571"/>
      <c r="FQ112" s="571"/>
      <c r="FR112" s="571"/>
      <c r="FS112" s="571"/>
      <c r="FT112" s="571"/>
      <c r="FU112" s="571"/>
      <c r="FV112" s="571"/>
      <c r="FW112" s="571"/>
      <c r="FX112" s="571"/>
      <c r="FY112" s="571"/>
      <c r="FZ112" s="571"/>
      <c r="GA112" s="571"/>
      <c r="GB112" s="571"/>
      <c r="GC112" s="571"/>
      <c r="GD112" s="571"/>
      <c r="GE112" s="571"/>
      <c r="GF112" s="571"/>
      <c r="GG112" s="571"/>
      <c r="GH112" s="571"/>
      <c r="GI112" s="571"/>
      <c r="GJ112" s="571"/>
      <c r="GK112" s="571"/>
      <c r="GL112" s="571"/>
      <c r="GM112" s="571"/>
      <c r="GN112" s="571"/>
      <c r="GO112" s="571"/>
      <c r="GP112" s="571"/>
      <c r="GQ112" s="571"/>
      <c r="GR112" s="571"/>
      <c r="GS112" s="571"/>
      <c r="GT112" s="571"/>
      <c r="GU112" s="571"/>
      <c r="GV112" s="571"/>
      <c r="GW112" s="571"/>
      <c r="GX112" s="571"/>
      <c r="GY112" s="571"/>
      <c r="GZ112" s="571"/>
      <c r="HA112" s="571"/>
      <c r="HB112" s="571"/>
      <c r="HC112" s="571"/>
      <c r="HD112" s="571"/>
      <c r="HE112" s="571"/>
      <c r="HF112" s="571"/>
      <c r="HG112" s="571"/>
      <c r="HH112" s="571"/>
      <c r="HI112" s="571"/>
      <c r="HJ112" s="571"/>
      <c r="HK112" s="571"/>
      <c r="HL112" s="571"/>
      <c r="HM112" s="571"/>
      <c r="HN112" s="571"/>
      <c r="HO112" s="571"/>
      <c r="HP112" s="571"/>
      <c r="HQ112" s="571"/>
      <c r="HR112" s="571"/>
      <c r="HS112" s="571"/>
      <c r="HT112" s="571"/>
      <c r="HU112" s="571"/>
      <c r="HV112" s="571"/>
      <c r="HW112" s="571"/>
      <c r="HX112" s="571"/>
      <c r="HY112" s="571"/>
      <c r="HZ112" s="571"/>
      <c r="IA112" s="571"/>
      <c r="IB112" s="571"/>
      <c r="IC112" s="571"/>
      <c r="ID112" s="571"/>
      <c r="IE112" s="571"/>
      <c r="IF112" s="571"/>
      <c r="IG112" s="571"/>
      <c r="IH112" s="571"/>
      <c r="II112" s="571"/>
      <c r="IJ112" s="571"/>
      <c r="IK112" s="571"/>
      <c r="IL112" s="571"/>
      <c r="IM112" s="571"/>
      <c r="IN112" s="571"/>
      <c r="IO112" s="571"/>
      <c r="IP112" s="571"/>
      <c r="IQ112" s="571"/>
      <c r="IR112" s="571"/>
      <c r="IS112" s="571"/>
      <c r="IT112" s="571"/>
      <c r="IU112" s="571"/>
      <c r="IV112" s="571"/>
      <c r="IW112" s="571"/>
      <c r="IX112" s="571"/>
    </row>
    <row r="113" spans="1:258" s="332" customFormat="1" ht="94.5" customHeight="1" x14ac:dyDescent="0.35">
      <c r="A113" s="324" t="s">
        <v>21</v>
      </c>
      <c r="B113" s="581" t="s">
        <v>22</v>
      </c>
      <c r="C113" s="579" t="s">
        <v>23</v>
      </c>
      <c r="D113" s="526"/>
      <c r="E113" s="527">
        <v>124.85</v>
      </c>
      <c r="F113" s="527">
        <v>232.88</v>
      </c>
      <c r="G113" s="527">
        <v>436.68</v>
      </c>
      <c r="H113" s="527">
        <v>869.24</v>
      </c>
      <c r="I113" s="527">
        <v>2504.29</v>
      </c>
      <c r="J113" s="527">
        <v>1352.59</v>
      </c>
      <c r="K113" s="526"/>
      <c r="L113" s="527">
        <f>E113*1.03</f>
        <v>128.59549999999999</v>
      </c>
      <c r="M113" s="527">
        <f>F113*1.03</f>
        <v>239.8664</v>
      </c>
      <c r="N113" s="527">
        <f>G113*1.03</f>
        <v>449.78040000000004</v>
      </c>
      <c r="O113" s="527">
        <f>H113*1.03</f>
        <v>895.31720000000007</v>
      </c>
      <c r="P113" s="527">
        <f>P115</f>
        <v>2624.57</v>
      </c>
      <c r="Q113" s="527">
        <f>Q115</f>
        <v>1421.18</v>
      </c>
      <c r="R113" s="530"/>
      <c r="S113" s="522"/>
      <c r="T113" s="522"/>
      <c r="U113" s="522"/>
      <c r="V113" s="522"/>
      <c r="W113" s="531"/>
      <c r="X113" s="571"/>
      <c r="Y113" s="571"/>
      <c r="Z113" s="577"/>
      <c r="AA113" s="571"/>
      <c r="AB113" s="571"/>
      <c r="AC113" s="571"/>
      <c r="AD113" s="571"/>
      <c r="AE113" s="571"/>
      <c r="AF113" s="571"/>
      <c r="AG113" s="571"/>
      <c r="AH113" s="571"/>
      <c r="AI113" s="571"/>
      <c r="AJ113" s="571"/>
      <c r="AK113" s="571"/>
      <c r="AL113" s="571"/>
      <c r="AM113" s="571"/>
      <c r="AN113" s="571"/>
      <c r="AO113" s="571"/>
      <c r="AP113" s="571"/>
      <c r="AQ113" s="571"/>
      <c r="AR113" s="571"/>
      <c r="AS113" s="571"/>
      <c r="AT113" s="571"/>
      <c r="AU113" s="571"/>
      <c r="AV113" s="571"/>
      <c r="AW113" s="571"/>
      <c r="AX113" s="571"/>
      <c r="AY113" s="571"/>
      <c r="AZ113" s="571"/>
      <c r="BA113" s="571"/>
      <c r="BB113" s="571"/>
      <c r="BC113" s="571"/>
      <c r="BD113" s="571"/>
      <c r="BE113" s="571"/>
      <c r="BF113" s="571"/>
      <c r="BG113" s="571"/>
      <c r="BH113" s="571"/>
      <c r="BI113" s="571"/>
      <c r="BJ113" s="571"/>
      <c r="BK113" s="571"/>
      <c r="BL113" s="571"/>
      <c r="BM113" s="571"/>
      <c r="BN113" s="571"/>
      <c r="BO113" s="571"/>
      <c r="BP113" s="571"/>
      <c r="BQ113" s="571"/>
      <c r="BR113" s="571"/>
      <c r="BS113" s="571"/>
      <c r="BT113" s="571"/>
      <c r="BU113" s="571"/>
      <c r="BV113" s="571"/>
      <c r="BW113" s="571"/>
      <c r="BX113" s="571"/>
      <c r="BY113" s="571"/>
      <c r="BZ113" s="571"/>
      <c r="CA113" s="571"/>
      <c r="CB113" s="571"/>
      <c r="CC113" s="571"/>
      <c r="CD113" s="571"/>
      <c r="CE113" s="571"/>
      <c r="CF113" s="571"/>
      <c r="CG113" s="571"/>
      <c r="CH113" s="571"/>
      <c r="CI113" s="571"/>
      <c r="CJ113" s="571"/>
      <c r="CK113" s="571"/>
      <c r="CL113" s="571"/>
      <c r="CM113" s="571"/>
      <c r="CN113" s="571"/>
      <c r="CO113" s="571"/>
      <c r="CP113" s="571"/>
      <c r="CQ113" s="571"/>
      <c r="CR113" s="571"/>
      <c r="CS113" s="571"/>
      <c r="CT113" s="571"/>
      <c r="CU113" s="571"/>
      <c r="CV113" s="571"/>
      <c r="CW113" s="571"/>
      <c r="CX113" s="571"/>
      <c r="CY113" s="571"/>
      <c r="CZ113" s="571"/>
      <c r="DA113" s="571"/>
      <c r="DB113" s="571"/>
      <c r="DC113" s="571"/>
      <c r="DD113" s="571"/>
      <c r="DE113" s="571"/>
      <c r="DF113" s="571"/>
      <c r="DG113" s="571"/>
      <c r="DH113" s="571"/>
      <c r="DI113" s="571"/>
      <c r="DJ113" s="571"/>
      <c r="DK113" s="571"/>
      <c r="DL113" s="571"/>
      <c r="DM113" s="571"/>
      <c r="DN113" s="571"/>
      <c r="DO113" s="571"/>
      <c r="DP113" s="571"/>
      <c r="DQ113" s="571"/>
      <c r="DR113" s="571"/>
      <c r="DS113" s="571"/>
      <c r="DT113" s="571"/>
      <c r="DU113" s="571"/>
      <c r="DV113" s="571"/>
      <c r="DW113" s="571"/>
      <c r="DX113" s="571"/>
      <c r="DY113" s="571"/>
      <c r="DZ113" s="571"/>
      <c r="EA113" s="571"/>
      <c r="EB113" s="571"/>
      <c r="EC113" s="571"/>
      <c r="ED113" s="571"/>
      <c r="EE113" s="571"/>
      <c r="EF113" s="571"/>
      <c r="EG113" s="571"/>
      <c r="EH113" s="571"/>
      <c r="EI113" s="571"/>
      <c r="EJ113" s="571"/>
      <c r="EK113" s="571"/>
      <c r="EL113" s="571"/>
      <c r="EM113" s="571"/>
      <c r="EN113" s="571"/>
      <c r="EO113" s="571"/>
      <c r="EP113" s="571"/>
      <c r="EQ113" s="571"/>
      <c r="ER113" s="571"/>
      <c r="ES113" s="571"/>
      <c r="ET113" s="571"/>
      <c r="EU113" s="571"/>
      <c r="EV113" s="571"/>
      <c r="EW113" s="571"/>
      <c r="EX113" s="571"/>
      <c r="EY113" s="571"/>
      <c r="EZ113" s="571"/>
      <c r="FA113" s="571"/>
      <c r="FB113" s="571"/>
      <c r="FC113" s="571"/>
      <c r="FD113" s="571"/>
      <c r="FE113" s="571"/>
      <c r="FF113" s="571"/>
      <c r="FG113" s="571"/>
      <c r="FH113" s="571"/>
      <c r="FI113" s="571"/>
      <c r="FJ113" s="571"/>
      <c r="FK113" s="571"/>
      <c r="FL113" s="571"/>
      <c r="FM113" s="571"/>
      <c r="FN113" s="571"/>
      <c r="FO113" s="571"/>
      <c r="FP113" s="571"/>
      <c r="FQ113" s="571"/>
      <c r="FR113" s="571"/>
      <c r="FS113" s="571"/>
      <c r="FT113" s="571"/>
      <c r="FU113" s="571"/>
      <c r="FV113" s="571"/>
      <c r="FW113" s="571"/>
      <c r="FX113" s="571"/>
      <c r="FY113" s="571"/>
      <c r="FZ113" s="571"/>
      <c r="GA113" s="571"/>
      <c r="GB113" s="571"/>
      <c r="GC113" s="571"/>
      <c r="GD113" s="571"/>
      <c r="GE113" s="571"/>
      <c r="GF113" s="571"/>
      <c r="GG113" s="571"/>
      <c r="GH113" s="571"/>
      <c r="GI113" s="571"/>
      <c r="GJ113" s="571"/>
      <c r="GK113" s="571"/>
      <c r="GL113" s="571"/>
      <c r="GM113" s="571"/>
      <c r="GN113" s="571"/>
      <c r="GO113" s="571"/>
      <c r="GP113" s="571"/>
      <c r="GQ113" s="571"/>
      <c r="GR113" s="571"/>
      <c r="GS113" s="571"/>
      <c r="GT113" s="571"/>
      <c r="GU113" s="571"/>
      <c r="GV113" s="571"/>
      <c r="GW113" s="571"/>
      <c r="GX113" s="571"/>
      <c r="GY113" s="571"/>
      <c r="GZ113" s="571"/>
      <c r="HA113" s="571"/>
      <c r="HB113" s="571"/>
      <c r="HC113" s="571"/>
      <c r="HD113" s="571"/>
      <c r="HE113" s="571"/>
      <c r="HF113" s="571"/>
      <c r="HG113" s="571"/>
      <c r="HH113" s="571"/>
      <c r="HI113" s="571"/>
      <c r="HJ113" s="571"/>
      <c r="HK113" s="571"/>
      <c r="HL113" s="571"/>
      <c r="HM113" s="571"/>
      <c r="HN113" s="571"/>
      <c r="HO113" s="571"/>
      <c r="HP113" s="571"/>
      <c r="HQ113" s="571"/>
      <c r="HR113" s="571"/>
      <c r="HS113" s="571"/>
      <c r="HT113" s="571"/>
      <c r="HU113" s="571"/>
      <c r="HV113" s="571"/>
      <c r="HW113" s="571"/>
      <c r="HX113" s="571"/>
      <c r="HY113" s="571"/>
      <c r="HZ113" s="571"/>
      <c r="IA113" s="571"/>
      <c r="IB113" s="571"/>
      <c r="IC113" s="571"/>
      <c r="ID113" s="571"/>
      <c r="IE113" s="571"/>
      <c r="IF113" s="571"/>
      <c r="IG113" s="571"/>
      <c r="IH113" s="571"/>
      <c r="II113" s="571"/>
      <c r="IJ113" s="571"/>
      <c r="IK113" s="571"/>
      <c r="IL113" s="571"/>
      <c r="IM113" s="571"/>
      <c r="IN113" s="571"/>
      <c r="IO113" s="571"/>
      <c r="IP113" s="571"/>
      <c r="IQ113" s="571"/>
      <c r="IR113" s="571"/>
      <c r="IS113" s="571"/>
      <c r="IT113" s="571"/>
      <c r="IU113" s="571"/>
      <c r="IV113" s="571"/>
      <c r="IW113" s="571"/>
      <c r="IX113" s="571"/>
    </row>
    <row r="114" spans="1:258" s="332" customFormat="1" ht="21" customHeight="1" x14ac:dyDescent="0.35">
      <c r="A114" s="324"/>
      <c r="B114" s="582" t="s">
        <v>27</v>
      </c>
      <c r="C114" s="579"/>
      <c r="D114" s="526"/>
      <c r="E114" s="532"/>
      <c r="F114" s="532"/>
      <c r="G114" s="532"/>
      <c r="H114" s="532"/>
      <c r="I114" s="532"/>
      <c r="J114" s="532"/>
      <c r="K114" s="526"/>
      <c r="L114" s="532">
        <f t="shared" ref="L114:Q114" si="35">L113/E113*100</f>
        <v>103</v>
      </c>
      <c r="M114" s="532">
        <f t="shared" si="35"/>
        <v>103</v>
      </c>
      <c r="N114" s="532">
        <f t="shared" si="35"/>
        <v>103</v>
      </c>
      <c r="O114" s="532">
        <f t="shared" si="35"/>
        <v>103</v>
      </c>
      <c r="P114" s="532">
        <f t="shared" si="35"/>
        <v>104.80295812385947</v>
      </c>
      <c r="Q114" s="536">
        <f t="shared" si="35"/>
        <v>105.07101191048287</v>
      </c>
      <c r="R114" s="534"/>
      <c r="S114" s="535"/>
      <c r="T114" s="535"/>
      <c r="U114" s="535"/>
      <c r="V114" s="535"/>
      <c r="W114" s="531"/>
      <c r="X114" s="571"/>
      <c r="Y114" s="571"/>
      <c r="Z114" s="577"/>
      <c r="AA114" s="571"/>
      <c r="AB114" s="571"/>
      <c r="AC114" s="571"/>
      <c r="AD114" s="571"/>
      <c r="AE114" s="571"/>
      <c r="AF114" s="571"/>
      <c r="AG114" s="571"/>
      <c r="AH114" s="571"/>
      <c r="AI114" s="571"/>
      <c r="AJ114" s="571"/>
      <c r="AK114" s="571"/>
      <c r="AL114" s="571"/>
      <c r="AM114" s="571"/>
      <c r="AN114" s="571"/>
      <c r="AO114" s="571"/>
      <c r="AP114" s="571"/>
      <c r="AQ114" s="571"/>
      <c r="AR114" s="571"/>
      <c r="AS114" s="571"/>
      <c r="AT114" s="571"/>
      <c r="AU114" s="571"/>
      <c r="AV114" s="571"/>
      <c r="AW114" s="571"/>
      <c r="AX114" s="571"/>
      <c r="AY114" s="571"/>
      <c r="AZ114" s="571"/>
      <c r="BA114" s="571"/>
      <c r="BB114" s="571"/>
      <c r="BC114" s="571"/>
      <c r="BD114" s="571"/>
      <c r="BE114" s="571"/>
      <c r="BF114" s="571"/>
      <c r="BG114" s="571"/>
      <c r="BH114" s="571"/>
      <c r="BI114" s="571"/>
      <c r="BJ114" s="571"/>
      <c r="BK114" s="571"/>
      <c r="BL114" s="571"/>
      <c r="BM114" s="571"/>
      <c r="BN114" s="571"/>
      <c r="BO114" s="571"/>
      <c r="BP114" s="571"/>
      <c r="BQ114" s="571"/>
      <c r="BR114" s="571"/>
      <c r="BS114" s="571"/>
      <c r="BT114" s="571"/>
      <c r="BU114" s="571"/>
      <c r="BV114" s="571"/>
      <c r="BW114" s="571"/>
      <c r="BX114" s="571"/>
      <c r="BY114" s="571"/>
      <c r="BZ114" s="571"/>
      <c r="CA114" s="571"/>
      <c r="CB114" s="571"/>
      <c r="CC114" s="571"/>
      <c r="CD114" s="571"/>
      <c r="CE114" s="571"/>
      <c r="CF114" s="571"/>
      <c r="CG114" s="571"/>
      <c r="CH114" s="571"/>
      <c r="CI114" s="571"/>
      <c r="CJ114" s="571"/>
      <c r="CK114" s="571"/>
      <c r="CL114" s="571"/>
      <c r="CM114" s="571"/>
      <c r="CN114" s="571"/>
      <c r="CO114" s="571"/>
      <c r="CP114" s="571"/>
      <c r="CQ114" s="571"/>
      <c r="CR114" s="571"/>
      <c r="CS114" s="571"/>
      <c r="CT114" s="571"/>
      <c r="CU114" s="571"/>
      <c r="CV114" s="571"/>
      <c r="CW114" s="571"/>
      <c r="CX114" s="571"/>
      <c r="CY114" s="571"/>
      <c r="CZ114" s="571"/>
      <c r="DA114" s="571"/>
      <c r="DB114" s="571"/>
      <c r="DC114" s="571"/>
      <c r="DD114" s="571"/>
      <c r="DE114" s="571"/>
      <c r="DF114" s="571"/>
      <c r="DG114" s="571"/>
      <c r="DH114" s="571"/>
      <c r="DI114" s="571"/>
      <c r="DJ114" s="571"/>
      <c r="DK114" s="571"/>
      <c r="DL114" s="571"/>
      <c r="DM114" s="571"/>
      <c r="DN114" s="571"/>
      <c r="DO114" s="571"/>
      <c r="DP114" s="571"/>
      <c r="DQ114" s="571"/>
      <c r="DR114" s="571"/>
      <c r="DS114" s="571"/>
      <c r="DT114" s="571"/>
      <c r="DU114" s="571"/>
      <c r="DV114" s="571"/>
      <c r="DW114" s="571"/>
      <c r="DX114" s="571"/>
      <c r="DY114" s="571"/>
      <c r="DZ114" s="571"/>
      <c r="EA114" s="571"/>
      <c r="EB114" s="571"/>
      <c r="EC114" s="571"/>
      <c r="ED114" s="571"/>
      <c r="EE114" s="571"/>
      <c r="EF114" s="571"/>
      <c r="EG114" s="571"/>
      <c r="EH114" s="571"/>
      <c r="EI114" s="571"/>
      <c r="EJ114" s="571"/>
      <c r="EK114" s="571"/>
      <c r="EL114" s="571"/>
      <c r="EM114" s="571"/>
      <c r="EN114" s="571"/>
      <c r="EO114" s="571"/>
      <c r="EP114" s="571"/>
      <c r="EQ114" s="571"/>
      <c r="ER114" s="571"/>
      <c r="ES114" s="571"/>
      <c r="ET114" s="571"/>
      <c r="EU114" s="571"/>
      <c r="EV114" s="571"/>
      <c r="EW114" s="571"/>
      <c r="EX114" s="571"/>
      <c r="EY114" s="571"/>
      <c r="EZ114" s="571"/>
      <c r="FA114" s="571"/>
      <c r="FB114" s="571"/>
      <c r="FC114" s="571"/>
      <c r="FD114" s="571"/>
      <c r="FE114" s="571"/>
      <c r="FF114" s="571"/>
      <c r="FG114" s="571"/>
      <c r="FH114" s="571"/>
      <c r="FI114" s="571"/>
      <c r="FJ114" s="571"/>
      <c r="FK114" s="571"/>
      <c r="FL114" s="571"/>
      <c r="FM114" s="571"/>
      <c r="FN114" s="571"/>
      <c r="FO114" s="571"/>
      <c r="FP114" s="571"/>
      <c r="FQ114" s="571"/>
      <c r="FR114" s="571"/>
      <c r="FS114" s="571"/>
      <c r="FT114" s="571"/>
      <c r="FU114" s="571"/>
      <c r="FV114" s="571"/>
      <c r="FW114" s="571"/>
      <c r="FX114" s="571"/>
      <c r="FY114" s="571"/>
      <c r="FZ114" s="571"/>
      <c r="GA114" s="571"/>
      <c r="GB114" s="571"/>
      <c r="GC114" s="571"/>
      <c r="GD114" s="571"/>
      <c r="GE114" s="571"/>
      <c r="GF114" s="571"/>
      <c r="GG114" s="571"/>
      <c r="GH114" s="571"/>
      <c r="GI114" s="571"/>
      <c r="GJ114" s="571"/>
      <c r="GK114" s="571"/>
      <c r="GL114" s="571"/>
      <c r="GM114" s="571"/>
      <c r="GN114" s="571"/>
      <c r="GO114" s="571"/>
      <c r="GP114" s="571"/>
      <c r="GQ114" s="571"/>
      <c r="GR114" s="571"/>
      <c r="GS114" s="571"/>
      <c r="GT114" s="571"/>
      <c r="GU114" s="571"/>
      <c r="GV114" s="571"/>
      <c r="GW114" s="571"/>
      <c r="GX114" s="571"/>
      <c r="GY114" s="571"/>
      <c r="GZ114" s="571"/>
      <c r="HA114" s="571"/>
      <c r="HB114" s="571"/>
      <c r="HC114" s="571"/>
      <c r="HD114" s="571"/>
      <c r="HE114" s="571"/>
      <c r="HF114" s="571"/>
      <c r="HG114" s="571"/>
      <c r="HH114" s="571"/>
      <c r="HI114" s="571"/>
      <c r="HJ114" s="571"/>
      <c r="HK114" s="571"/>
      <c r="HL114" s="571"/>
      <c r="HM114" s="571"/>
      <c r="HN114" s="571"/>
      <c r="HO114" s="571"/>
      <c r="HP114" s="571"/>
      <c r="HQ114" s="571"/>
      <c r="HR114" s="571"/>
      <c r="HS114" s="571"/>
      <c r="HT114" s="571"/>
      <c r="HU114" s="571"/>
      <c r="HV114" s="571"/>
      <c r="HW114" s="571"/>
      <c r="HX114" s="571"/>
      <c r="HY114" s="571"/>
      <c r="HZ114" s="571"/>
      <c r="IA114" s="571"/>
      <c r="IB114" s="571"/>
      <c r="IC114" s="571"/>
      <c r="ID114" s="571"/>
      <c r="IE114" s="571"/>
      <c r="IF114" s="571"/>
      <c r="IG114" s="571"/>
      <c r="IH114" s="571"/>
      <c r="II114" s="571"/>
      <c r="IJ114" s="571"/>
      <c r="IK114" s="571"/>
      <c r="IL114" s="571"/>
      <c r="IM114" s="571"/>
      <c r="IN114" s="571"/>
      <c r="IO114" s="571"/>
      <c r="IP114" s="571"/>
      <c r="IQ114" s="571"/>
      <c r="IR114" s="571"/>
      <c r="IS114" s="571"/>
      <c r="IT114" s="571"/>
      <c r="IU114" s="571"/>
      <c r="IV114" s="571"/>
      <c r="IW114" s="571"/>
      <c r="IX114" s="571"/>
    </row>
    <row r="115" spans="1:258" s="332" customFormat="1" ht="30" customHeight="1" x14ac:dyDescent="0.35">
      <c r="A115" s="324" t="s">
        <v>25</v>
      </c>
      <c r="B115" s="581" t="s">
        <v>26</v>
      </c>
      <c r="C115" s="583"/>
      <c r="D115" s="537">
        <f>D120/D110</f>
        <v>1903.4433356635539</v>
      </c>
      <c r="E115" s="527">
        <v>968.23</v>
      </c>
      <c r="F115" s="527">
        <v>1258.76</v>
      </c>
      <c r="G115" s="527">
        <v>2026.1</v>
      </c>
      <c r="H115" s="527">
        <v>2847.97</v>
      </c>
      <c r="I115" s="527">
        <v>2504.29</v>
      </c>
      <c r="J115" s="527">
        <v>1352.59</v>
      </c>
      <c r="K115" s="537">
        <f>K120/K110</f>
        <v>1975.8668365199935</v>
      </c>
      <c r="L115" s="527">
        <f>E115*1.03</f>
        <v>997.27690000000007</v>
      </c>
      <c r="M115" s="527">
        <f>F115*1.03</f>
        <v>1296.5228</v>
      </c>
      <c r="N115" s="527">
        <f>G115*1.03</f>
        <v>2086.8829999999998</v>
      </c>
      <c r="O115" s="527">
        <f>H115*1.03</f>
        <v>2933.4090999999999</v>
      </c>
      <c r="P115" s="527">
        <v>2624.57</v>
      </c>
      <c r="Q115" s="527">
        <v>1421.18</v>
      </c>
      <c r="R115" s="538">
        <f>R120/R110</f>
        <v>1940.3760065870376</v>
      </c>
      <c r="S115" s="539"/>
      <c r="T115" s="539"/>
      <c r="U115" s="539"/>
      <c r="V115" s="539"/>
      <c r="W115" s="699">
        <f>W117/W110</f>
        <v>2126.0856416555985</v>
      </c>
      <c r="X115" s="571"/>
      <c r="Y115" s="571"/>
      <c r="Z115" s="577"/>
      <c r="AA115" s="571"/>
      <c r="AB115" s="571"/>
      <c r="AC115" s="571"/>
      <c r="AD115" s="571"/>
      <c r="AE115" s="571"/>
      <c r="AF115" s="571"/>
      <c r="AG115" s="571"/>
      <c r="AH115" s="571"/>
      <c r="AI115" s="571"/>
      <c r="AJ115" s="571"/>
      <c r="AK115" s="571"/>
      <c r="AL115" s="571"/>
      <c r="AM115" s="571"/>
      <c r="AN115" s="571"/>
      <c r="AO115" s="571"/>
      <c r="AP115" s="571"/>
      <c r="AQ115" s="571"/>
      <c r="AR115" s="571"/>
      <c r="AS115" s="571"/>
      <c r="AT115" s="571"/>
      <c r="AU115" s="571"/>
      <c r="AV115" s="571"/>
      <c r="AW115" s="571"/>
      <c r="AX115" s="571"/>
      <c r="AY115" s="571"/>
      <c r="AZ115" s="571"/>
      <c r="BA115" s="571"/>
      <c r="BB115" s="571"/>
      <c r="BC115" s="571"/>
      <c r="BD115" s="571"/>
      <c r="BE115" s="571"/>
      <c r="BF115" s="571"/>
      <c r="BG115" s="571"/>
      <c r="BH115" s="571"/>
      <c r="BI115" s="571"/>
      <c r="BJ115" s="571"/>
      <c r="BK115" s="571"/>
      <c r="BL115" s="571"/>
      <c r="BM115" s="571"/>
      <c r="BN115" s="571"/>
      <c r="BO115" s="571"/>
      <c r="BP115" s="571"/>
      <c r="BQ115" s="571"/>
      <c r="BR115" s="571"/>
      <c r="BS115" s="571"/>
      <c r="BT115" s="571"/>
      <c r="BU115" s="571"/>
      <c r="BV115" s="571"/>
      <c r="BW115" s="571"/>
      <c r="BX115" s="571"/>
      <c r="BY115" s="571"/>
      <c r="BZ115" s="571"/>
      <c r="CA115" s="571"/>
      <c r="CB115" s="571"/>
      <c r="CC115" s="571"/>
      <c r="CD115" s="571"/>
      <c r="CE115" s="571"/>
      <c r="CF115" s="571"/>
      <c r="CG115" s="571"/>
      <c r="CH115" s="571"/>
      <c r="CI115" s="571"/>
      <c r="CJ115" s="571"/>
      <c r="CK115" s="571"/>
      <c r="CL115" s="571"/>
      <c r="CM115" s="571"/>
      <c r="CN115" s="571"/>
      <c r="CO115" s="571"/>
      <c r="CP115" s="571"/>
      <c r="CQ115" s="571"/>
      <c r="CR115" s="571"/>
      <c r="CS115" s="571"/>
      <c r="CT115" s="571"/>
      <c r="CU115" s="571"/>
      <c r="CV115" s="571"/>
      <c r="CW115" s="571"/>
      <c r="CX115" s="571"/>
      <c r="CY115" s="571"/>
      <c r="CZ115" s="571"/>
      <c r="DA115" s="571"/>
      <c r="DB115" s="571"/>
      <c r="DC115" s="571"/>
      <c r="DD115" s="571"/>
      <c r="DE115" s="571"/>
      <c r="DF115" s="571"/>
      <c r="DG115" s="571"/>
      <c r="DH115" s="571"/>
      <c r="DI115" s="571"/>
      <c r="DJ115" s="571"/>
      <c r="DK115" s="571"/>
      <c r="DL115" s="571"/>
      <c r="DM115" s="571"/>
      <c r="DN115" s="571"/>
      <c r="DO115" s="571"/>
      <c r="DP115" s="571"/>
      <c r="DQ115" s="571"/>
      <c r="DR115" s="571"/>
      <c r="DS115" s="571"/>
      <c r="DT115" s="571"/>
      <c r="DU115" s="571"/>
      <c r="DV115" s="571"/>
      <c r="DW115" s="571"/>
      <c r="DX115" s="571"/>
      <c r="DY115" s="571"/>
      <c r="DZ115" s="571"/>
      <c r="EA115" s="571"/>
      <c r="EB115" s="571"/>
      <c r="EC115" s="571"/>
      <c r="ED115" s="571"/>
      <c r="EE115" s="571"/>
      <c r="EF115" s="571"/>
      <c r="EG115" s="571"/>
      <c r="EH115" s="571"/>
      <c r="EI115" s="571"/>
      <c r="EJ115" s="571"/>
      <c r="EK115" s="571"/>
      <c r="EL115" s="571"/>
      <c r="EM115" s="571"/>
      <c r="EN115" s="571"/>
      <c r="EO115" s="571"/>
      <c r="EP115" s="571"/>
      <c r="EQ115" s="571"/>
      <c r="ER115" s="571"/>
      <c r="ES115" s="571"/>
      <c r="ET115" s="571"/>
      <c r="EU115" s="571"/>
      <c r="EV115" s="571"/>
      <c r="EW115" s="571"/>
      <c r="EX115" s="571"/>
      <c r="EY115" s="571"/>
      <c r="EZ115" s="571"/>
      <c r="FA115" s="571"/>
      <c r="FB115" s="571"/>
      <c r="FC115" s="571"/>
      <c r="FD115" s="571"/>
      <c r="FE115" s="571"/>
      <c r="FF115" s="571"/>
      <c r="FG115" s="571"/>
      <c r="FH115" s="571"/>
      <c r="FI115" s="571"/>
      <c r="FJ115" s="571"/>
      <c r="FK115" s="571"/>
      <c r="FL115" s="571"/>
      <c r="FM115" s="571"/>
      <c r="FN115" s="571"/>
      <c r="FO115" s="571"/>
      <c r="FP115" s="571"/>
      <c r="FQ115" s="571"/>
      <c r="FR115" s="571"/>
      <c r="FS115" s="571"/>
      <c r="FT115" s="571"/>
      <c r="FU115" s="571"/>
      <c r="FV115" s="571"/>
      <c r="FW115" s="571"/>
      <c r="FX115" s="571"/>
      <c r="FY115" s="571"/>
      <c r="FZ115" s="571"/>
      <c r="GA115" s="571"/>
      <c r="GB115" s="571"/>
      <c r="GC115" s="571"/>
      <c r="GD115" s="571"/>
      <c r="GE115" s="571"/>
      <c r="GF115" s="571"/>
      <c r="GG115" s="571"/>
      <c r="GH115" s="571"/>
      <c r="GI115" s="571"/>
      <c r="GJ115" s="571"/>
      <c r="GK115" s="571"/>
      <c r="GL115" s="571"/>
      <c r="GM115" s="571"/>
      <c r="GN115" s="571"/>
      <c r="GO115" s="571"/>
      <c r="GP115" s="571"/>
      <c r="GQ115" s="571"/>
      <c r="GR115" s="571"/>
      <c r="GS115" s="571"/>
      <c r="GT115" s="571"/>
      <c r="GU115" s="571"/>
      <c r="GV115" s="571"/>
      <c r="GW115" s="571"/>
      <c r="GX115" s="571"/>
      <c r="GY115" s="571"/>
      <c r="GZ115" s="571"/>
      <c r="HA115" s="571"/>
      <c r="HB115" s="571"/>
      <c r="HC115" s="571"/>
      <c r="HD115" s="571"/>
      <c r="HE115" s="571"/>
      <c r="HF115" s="571"/>
      <c r="HG115" s="571"/>
      <c r="HH115" s="571"/>
      <c r="HI115" s="571"/>
      <c r="HJ115" s="571"/>
      <c r="HK115" s="571"/>
      <c r="HL115" s="571"/>
      <c r="HM115" s="571"/>
      <c r="HN115" s="571"/>
      <c r="HO115" s="571"/>
      <c r="HP115" s="571"/>
      <c r="HQ115" s="571"/>
      <c r="HR115" s="571"/>
      <c r="HS115" s="571"/>
      <c r="HT115" s="571"/>
      <c r="HU115" s="571"/>
      <c r="HV115" s="571"/>
      <c r="HW115" s="571"/>
      <c r="HX115" s="571"/>
      <c r="HY115" s="571"/>
      <c r="HZ115" s="571"/>
      <c r="IA115" s="571"/>
      <c r="IB115" s="571"/>
      <c r="IC115" s="571"/>
      <c r="ID115" s="571"/>
      <c r="IE115" s="571"/>
      <c r="IF115" s="571"/>
      <c r="IG115" s="571"/>
      <c r="IH115" s="571"/>
      <c r="II115" s="571"/>
      <c r="IJ115" s="571"/>
      <c r="IK115" s="571"/>
      <c r="IL115" s="571"/>
      <c r="IM115" s="571"/>
      <c r="IN115" s="571"/>
      <c r="IO115" s="571"/>
      <c r="IP115" s="571"/>
      <c r="IQ115" s="571"/>
      <c r="IR115" s="571"/>
      <c r="IS115" s="571"/>
      <c r="IT115" s="571"/>
      <c r="IU115" s="571"/>
      <c r="IV115" s="571"/>
      <c r="IW115" s="571"/>
      <c r="IX115" s="571"/>
    </row>
    <row r="116" spans="1:258" s="332" customFormat="1" ht="21" customHeight="1" x14ac:dyDescent="0.35">
      <c r="A116" s="353"/>
      <c r="B116" s="582" t="s">
        <v>27</v>
      </c>
      <c r="C116" s="584"/>
      <c r="D116" s="541"/>
      <c r="E116" s="542"/>
      <c r="F116" s="542"/>
      <c r="G116" s="542"/>
      <c r="H116" s="542"/>
      <c r="I116" s="542"/>
      <c r="J116" s="543"/>
      <c r="K116" s="585">
        <f>K115/D115*100</f>
        <v>103.80486770998057</v>
      </c>
      <c r="L116" s="544">
        <f t="shared" ref="L116:Q116" si="36">L115/E115*100</f>
        <v>103</v>
      </c>
      <c r="M116" s="544">
        <f t="shared" si="36"/>
        <v>103</v>
      </c>
      <c r="N116" s="544">
        <f t="shared" si="36"/>
        <v>103</v>
      </c>
      <c r="O116" s="544">
        <f t="shared" si="36"/>
        <v>103</v>
      </c>
      <c r="P116" s="544">
        <f t="shared" si="36"/>
        <v>104.80295812385947</v>
      </c>
      <c r="Q116" s="545">
        <f t="shared" si="36"/>
        <v>105.07101191048287</v>
      </c>
      <c r="R116" s="546"/>
      <c r="S116" s="547"/>
      <c r="T116" s="547"/>
      <c r="U116" s="547"/>
      <c r="V116" s="547"/>
      <c r="W116" s="540"/>
      <c r="X116" s="571"/>
      <c r="Y116" s="571"/>
      <c r="Z116" s="577"/>
      <c r="AA116" s="571"/>
      <c r="AB116" s="571"/>
      <c r="AC116" s="571"/>
      <c r="AD116" s="571"/>
      <c r="AE116" s="571"/>
      <c r="AF116" s="571"/>
      <c r="AG116" s="571"/>
      <c r="AH116" s="571"/>
      <c r="AI116" s="571"/>
      <c r="AJ116" s="571"/>
      <c r="AK116" s="571"/>
      <c r="AL116" s="571"/>
      <c r="AM116" s="571"/>
      <c r="AN116" s="571"/>
      <c r="AO116" s="571"/>
      <c r="AP116" s="571"/>
      <c r="AQ116" s="571"/>
      <c r="AR116" s="571"/>
      <c r="AS116" s="571"/>
      <c r="AT116" s="571"/>
      <c r="AU116" s="571"/>
      <c r="AV116" s="571"/>
      <c r="AW116" s="571"/>
      <c r="AX116" s="571"/>
      <c r="AY116" s="571"/>
      <c r="AZ116" s="571"/>
      <c r="BA116" s="571"/>
      <c r="BB116" s="571"/>
      <c r="BC116" s="571"/>
      <c r="BD116" s="571"/>
      <c r="BE116" s="571"/>
      <c r="BF116" s="571"/>
      <c r="BG116" s="571"/>
      <c r="BH116" s="571"/>
      <c r="BI116" s="571"/>
      <c r="BJ116" s="571"/>
      <c r="BK116" s="571"/>
      <c r="BL116" s="571"/>
      <c r="BM116" s="571"/>
      <c r="BN116" s="571"/>
      <c r="BO116" s="571"/>
      <c r="BP116" s="571"/>
      <c r="BQ116" s="571"/>
      <c r="BR116" s="571"/>
      <c r="BS116" s="571"/>
      <c r="BT116" s="571"/>
      <c r="BU116" s="571"/>
      <c r="BV116" s="571"/>
      <c r="BW116" s="571"/>
      <c r="BX116" s="571"/>
      <c r="BY116" s="571"/>
      <c r="BZ116" s="571"/>
      <c r="CA116" s="571"/>
      <c r="CB116" s="571"/>
      <c r="CC116" s="571"/>
      <c r="CD116" s="571"/>
      <c r="CE116" s="571"/>
      <c r="CF116" s="571"/>
      <c r="CG116" s="571"/>
      <c r="CH116" s="571"/>
      <c r="CI116" s="571"/>
      <c r="CJ116" s="571"/>
      <c r="CK116" s="571"/>
      <c r="CL116" s="571"/>
      <c r="CM116" s="571"/>
      <c r="CN116" s="571"/>
      <c r="CO116" s="571"/>
      <c r="CP116" s="571"/>
      <c r="CQ116" s="571"/>
      <c r="CR116" s="571"/>
      <c r="CS116" s="571"/>
      <c r="CT116" s="571"/>
      <c r="CU116" s="571"/>
      <c r="CV116" s="571"/>
      <c r="CW116" s="571"/>
      <c r="CX116" s="571"/>
      <c r="CY116" s="571"/>
      <c r="CZ116" s="571"/>
      <c r="DA116" s="571"/>
      <c r="DB116" s="571"/>
      <c r="DC116" s="571"/>
      <c r="DD116" s="571"/>
      <c r="DE116" s="571"/>
      <c r="DF116" s="571"/>
      <c r="DG116" s="571"/>
      <c r="DH116" s="571"/>
      <c r="DI116" s="571"/>
      <c r="DJ116" s="571"/>
      <c r="DK116" s="571"/>
      <c r="DL116" s="571"/>
      <c r="DM116" s="571"/>
      <c r="DN116" s="571"/>
      <c r="DO116" s="571"/>
      <c r="DP116" s="571"/>
      <c r="DQ116" s="571"/>
      <c r="DR116" s="571"/>
      <c r="DS116" s="571"/>
      <c r="DT116" s="571"/>
      <c r="DU116" s="571"/>
      <c r="DV116" s="571"/>
      <c r="DW116" s="571"/>
      <c r="DX116" s="571"/>
      <c r="DY116" s="571"/>
      <c r="DZ116" s="571"/>
      <c r="EA116" s="571"/>
      <c r="EB116" s="571"/>
      <c r="EC116" s="571"/>
      <c r="ED116" s="571"/>
      <c r="EE116" s="571"/>
      <c r="EF116" s="571"/>
      <c r="EG116" s="571"/>
      <c r="EH116" s="571"/>
      <c r="EI116" s="571"/>
      <c r="EJ116" s="571"/>
      <c r="EK116" s="571"/>
      <c r="EL116" s="571"/>
      <c r="EM116" s="571"/>
      <c r="EN116" s="571"/>
      <c r="EO116" s="571"/>
      <c r="EP116" s="571"/>
      <c r="EQ116" s="571"/>
      <c r="ER116" s="571"/>
      <c r="ES116" s="571"/>
      <c r="ET116" s="571"/>
      <c r="EU116" s="571"/>
      <c r="EV116" s="571"/>
      <c r="EW116" s="571"/>
      <c r="EX116" s="571"/>
      <c r="EY116" s="571"/>
      <c r="EZ116" s="571"/>
      <c r="FA116" s="571"/>
      <c r="FB116" s="571"/>
      <c r="FC116" s="571"/>
      <c r="FD116" s="571"/>
      <c r="FE116" s="571"/>
      <c r="FF116" s="571"/>
      <c r="FG116" s="571"/>
      <c r="FH116" s="571"/>
      <c r="FI116" s="571"/>
      <c r="FJ116" s="571"/>
      <c r="FK116" s="571"/>
      <c r="FL116" s="571"/>
      <c r="FM116" s="571"/>
      <c r="FN116" s="571"/>
      <c r="FO116" s="571"/>
      <c r="FP116" s="571"/>
      <c r="FQ116" s="571"/>
      <c r="FR116" s="571"/>
      <c r="FS116" s="571"/>
      <c r="FT116" s="571"/>
      <c r="FU116" s="571"/>
      <c r="FV116" s="571"/>
      <c r="FW116" s="571"/>
      <c r="FX116" s="571"/>
      <c r="FY116" s="571"/>
      <c r="FZ116" s="571"/>
      <c r="GA116" s="571"/>
      <c r="GB116" s="571"/>
      <c r="GC116" s="571"/>
      <c r="GD116" s="571"/>
      <c r="GE116" s="571"/>
      <c r="GF116" s="571"/>
      <c r="GG116" s="571"/>
      <c r="GH116" s="571"/>
      <c r="GI116" s="571"/>
      <c r="GJ116" s="571"/>
      <c r="GK116" s="571"/>
      <c r="GL116" s="571"/>
      <c r="GM116" s="571"/>
      <c r="GN116" s="571"/>
      <c r="GO116" s="571"/>
      <c r="GP116" s="571"/>
      <c r="GQ116" s="571"/>
      <c r="GR116" s="571"/>
      <c r="GS116" s="571"/>
      <c r="GT116" s="571"/>
      <c r="GU116" s="571"/>
      <c r="GV116" s="571"/>
      <c r="GW116" s="571"/>
      <c r="GX116" s="571"/>
      <c r="GY116" s="571"/>
      <c r="GZ116" s="571"/>
      <c r="HA116" s="571"/>
      <c r="HB116" s="571"/>
      <c r="HC116" s="571"/>
      <c r="HD116" s="571"/>
      <c r="HE116" s="571"/>
      <c r="HF116" s="571"/>
      <c r="HG116" s="571"/>
      <c r="HH116" s="571"/>
      <c r="HI116" s="571"/>
      <c r="HJ116" s="571"/>
      <c r="HK116" s="571"/>
      <c r="HL116" s="571"/>
      <c r="HM116" s="571"/>
      <c r="HN116" s="571"/>
      <c r="HO116" s="571"/>
      <c r="HP116" s="571"/>
      <c r="HQ116" s="571"/>
      <c r="HR116" s="571"/>
      <c r="HS116" s="571"/>
      <c r="HT116" s="571"/>
      <c r="HU116" s="571"/>
      <c r="HV116" s="571"/>
      <c r="HW116" s="571"/>
      <c r="HX116" s="571"/>
      <c r="HY116" s="571"/>
      <c r="HZ116" s="571"/>
      <c r="IA116" s="571"/>
      <c r="IB116" s="571"/>
      <c r="IC116" s="571"/>
      <c r="ID116" s="571"/>
      <c r="IE116" s="571"/>
      <c r="IF116" s="571"/>
      <c r="IG116" s="571"/>
      <c r="IH116" s="571"/>
      <c r="II116" s="571"/>
      <c r="IJ116" s="571"/>
      <c r="IK116" s="571"/>
      <c r="IL116" s="571"/>
      <c r="IM116" s="571"/>
      <c r="IN116" s="571"/>
      <c r="IO116" s="571"/>
      <c r="IP116" s="571"/>
      <c r="IQ116" s="571"/>
      <c r="IR116" s="571"/>
      <c r="IS116" s="571"/>
      <c r="IT116" s="571"/>
      <c r="IU116" s="571"/>
      <c r="IV116" s="571"/>
      <c r="IW116" s="571"/>
      <c r="IX116" s="571"/>
    </row>
    <row r="117" spans="1:258" s="332" customFormat="1" ht="48" customHeight="1" thickBot="1" x14ac:dyDescent="0.4">
      <c r="A117" s="361">
        <v>6</v>
      </c>
      <c r="B117" s="581" t="s">
        <v>28</v>
      </c>
      <c r="C117" s="579" t="s">
        <v>29</v>
      </c>
      <c r="D117" s="567">
        <f>SUM(E117:J117)</f>
        <v>2624232.0249279533</v>
      </c>
      <c r="E117" s="548">
        <f>E109*E111*6/1000+E110*E113</f>
        <v>321525.77696287021</v>
      </c>
      <c r="F117" s="548">
        <f>F109*F111*6/1000+F110*F113</f>
        <v>28059.567832674515</v>
      </c>
      <c r="G117" s="548">
        <f>G109*G111*6/1000+G110*G113</f>
        <v>767653.31245751574</v>
      </c>
      <c r="H117" s="548">
        <f>H109*H111*6/1000+H110*H113</f>
        <v>643456.37309089256</v>
      </c>
      <c r="I117" s="548">
        <f>I110*I113</f>
        <v>643928.58855800016</v>
      </c>
      <c r="J117" s="549">
        <f>J110*J113</f>
        <v>219608.40602599995</v>
      </c>
      <c r="K117" s="567">
        <f>SUM(L117:Q117)</f>
        <v>2834748.3530156543</v>
      </c>
      <c r="L117" s="548">
        <f>L109*L111*6/1000+L110*L113</f>
        <v>342734.15222300001</v>
      </c>
      <c r="M117" s="548">
        <f>M109*M111*6/1000+M110*M113</f>
        <v>28197.24917563175</v>
      </c>
      <c r="N117" s="548">
        <f>N109*N111*6/1000+N110*N113</f>
        <v>758285.4816533993</v>
      </c>
      <c r="O117" s="548">
        <f>O109*O111*6/1000+O110*O113</f>
        <v>640836.77792162332</v>
      </c>
      <c r="P117" s="548">
        <f>P110*P113</f>
        <v>811200.52085799992</v>
      </c>
      <c r="Q117" s="550">
        <f>Q110*Q113</f>
        <v>253494.17118400001</v>
      </c>
      <c r="R117" s="564">
        <f t="shared" ref="R117:V120" si="37">D117+K117</f>
        <v>5458980.377943607</v>
      </c>
      <c r="S117" s="552">
        <f t="shared" si="37"/>
        <v>664259.92918587022</v>
      </c>
      <c r="T117" s="552">
        <f t="shared" si="37"/>
        <v>56256.817008306265</v>
      </c>
      <c r="U117" s="552">
        <f t="shared" si="37"/>
        <v>1525938.7941109152</v>
      </c>
      <c r="V117" s="552">
        <f t="shared" si="37"/>
        <v>1284293.1510125159</v>
      </c>
      <c r="W117" s="553">
        <f>I117+P117+J117+Q117</f>
        <v>1928231.6866260001</v>
      </c>
      <c r="X117" s="571"/>
      <c r="Y117" s="571"/>
      <c r="Z117" s="577"/>
      <c r="AA117" s="571"/>
      <c r="AB117" s="571"/>
      <c r="AC117" s="571"/>
      <c r="AD117" s="571"/>
      <c r="AE117" s="571"/>
      <c r="AF117" s="571"/>
      <c r="AG117" s="571"/>
      <c r="AH117" s="571"/>
      <c r="AI117" s="571"/>
      <c r="AJ117" s="571"/>
      <c r="AK117" s="571"/>
      <c r="AL117" s="571"/>
      <c r="AM117" s="571"/>
      <c r="AN117" s="571"/>
      <c r="AO117" s="571"/>
      <c r="AP117" s="571"/>
      <c r="AQ117" s="571"/>
      <c r="AR117" s="571"/>
      <c r="AS117" s="571"/>
      <c r="AT117" s="571"/>
      <c r="AU117" s="571"/>
      <c r="AV117" s="571"/>
      <c r="AW117" s="571"/>
      <c r="AX117" s="571"/>
      <c r="AY117" s="571"/>
      <c r="AZ117" s="571"/>
      <c r="BA117" s="571"/>
      <c r="BB117" s="571"/>
      <c r="BC117" s="571"/>
      <c r="BD117" s="571"/>
      <c r="BE117" s="571"/>
      <c r="BF117" s="571"/>
      <c r="BG117" s="571"/>
      <c r="BH117" s="571"/>
      <c r="BI117" s="571"/>
      <c r="BJ117" s="571"/>
      <c r="BK117" s="571"/>
      <c r="BL117" s="571"/>
      <c r="BM117" s="571"/>
      <c r="BN117" s="571"/>
      <c r="BO117" s="571"/>
      <c r="BP117" s="571"/>
      <c r="BQ117" s="571"/>
      <c r="BR117" s="571"/>
      <c r="BS117" s="571"/>
      <c r="BT117" s="571"/>
      <c r="BU117" s="571"/>
      <c r="BV117" s="571"/>
      <c r="BW117" s="571"/>
      <c r="BX117" s="571"/>
      <c r="BY117" s="571"/>
      <c r="BZ117" s="571"/>
      <c r="CA117" s="571"/>
      <c r="CB117" s="571"/>
      <c r="CC117" s="571"/>
      <c r="CD117" s="571"/>
      <c r="CE117" s="571"/>
      <c r="CF117" s="571"/>
      <c r="CG117" s="571"/>
      <c r="CH117" s="571"/>
      <c r="CI117" s="571"/>
      <c r="CJ117" s="571"/>
      <c r="CK117" s="571"/>
      <c r="CL117" s="571"/>
      <c r="CM117" s="571"/>
      <c r="CN117" s="571"/>
      <c r="CO117" s="571"/>
      <c r="CP117" s="571"/>
      <c r="CQ117" s="571"/>
      <c r="CR117" s="571"/>
      <c r="CS117" s="571"/>
      <c r="CT117" s="571"/>
      <c r="CU117" s="571"/>
      <c r="CV117" s="571"/>
      <c r="CW117" s="571"/>
      <c r="CX117" s="571"/>
      <c r="CY117" s="571"/>
      <c r="CZ117" s="571"/>
      <c r="DA117" s="571"/>
      <c r="DB117" s="571"/>
      <c r="DC117" s="571"/>
      <c r="DD117" s="571"/>
      <c r="DE117" s="571"/>
      <c r="DF117" s="571"/>
      <c r="DG117" s="571"/>
      <c r="DH117" s="571"/>
      <c r="DI117" s="571"/>
      <c r="DJ117" s="571"/>
      <c r="DK117" s="571"/>
      <c r="DL117" s="571"/>
      <c r="DM117" s="571"/>
      <c r="DN117" s="571"/>
      <c r="DO117" s="571"/>
      <c r="DP117" s="571"/>
      <c r="DQ117" s="571"/>
      <c r="DR117" s="571"/>
      <c r="DS117" s="571"/>
      <c r="DT117" s="571"/>
      <c r="DU117" s="571"/>
      <c r="DV117" s="571"/>
      <c r="DW117" s="571"/>
      <c r="DX117" s="571"/>
      <c r="DY117" s="571"/>
      <c r="DZ117" s="571"/>
      <c r="EA117" s="571"/>
      <c r="EB117" s="571"/>
      <c r="EC117" s="571"/>
      <c r="ED117" s="571"/>
      <c r="EE117" s="571"/>
      <c r="EF117" s="571"/>
      <c r="EG117" s="571"/>
      <c r="EH117" s="571"/>
      <c r="EI117" s="571"/>
      <c r="EJ117" s="571"/>
      <c r="EK117" s="571"/>
      <c r="EL117" s="571"/>
      <c r="EM117" s="571"/>
      <c r="EN117" s="571"/>
      <c r="EO117" s="571"/>
      <c r="EP117" s="571"/>
      <c r="EQ117" s="571"/>
      <c r="ER117" s="571"/>
      <c r="ES117" s="571"/>
      <c r="ET117" s="571"/>
      <c r="EU117" s="571"/>
      <c r="EV117" s="571"/>
      <c r="EW117" s="571"/>
      <c r="EX117" s="571"/>
      <c r="EY117" s="571"/>
      <c r="EZ117" s="571"/>
      <c r="FA117" s="571"/>
      <c r="FB117" s="571"/>
      <c r="FC117" s="571"/>
      <c r="FD117" s="571"/>
      <c r="FE117" s="571"/>
      <c r="FF117" s="571"/>
      <c r="FG117" s="571"/>
      <c r="FH117" s="571"/>
      <c r="FI117" s="571"/>
      <c r="FJ117" s="571"/>
      <c r="FK117" s="571"/>
      <c r="FL117" s="571"/>
      <c r="FM117" s="571"/>
      <c r="FN117" s="571"/>
      <c r="FO117" s="571"/>
      <c r="FP117" s="571"/>
      <c r="FQ117" s="571"/>
      <c r="FR117" s="571"/>
      <c r="FS117" s="571"/>
      <c r="FT117" s="571"/>
      <c r="FU117" s="571"/>
      <c r="FV117" s="571"/>
      <c r="FW117" s="571"/>
      <c r="FX117" s="571"/>
      <c r="FY117" s="571"/>
      <c r="FZ117" s="571"/>
      <c r="GA117" s="571"/>
      <c r="GB117" s="571"/>
      <c r="GC117" s="571"/>
      <c r="GD117" s="571"/>
      <c r="GE117" s="571"/>
      <c r="GF117" s="571"/>
      <c r="GG117" s="571"/>
      <c r="GH117" s="571"/>
      <c r="GI117" s="571"/>
      <c r="GJ117" s="571"/>
      <c r="GK117" s="571"/>
      <c r="GL117" s="571"/>
      <c r="GM117" s="571"/>
      <c r="GN117" s="571"/>
      <c r="GO117" s="571"/>
      <c r="GP117" s="571"/>
      <c r="GQ117" s="571"/>
      <c r="GR117" s="571"/>
      <c r="GS117" s="571"/>
      <c r="GT117" s="571"/>
      <c r="GU117" s="571"/>
      <c r="GV117" s="571"/>
      <c r="GW117" s="571"/>
      <c r="GX117" s="571"/>
      <c r="GY117" s="571"/>
      <c r="GZ117" s="571"/>
      <c r="HA117" s="571"/>
      <c r="HB117" s="571"/>
      <c r="HC117" s="571"/>
      <c r="HD117" s="571"/>
      <c r="HE117" s="571"/>
      <c r="HF117" s="571"/>
      <c r="HG117" s="571"/>
      <c r="HH117" s="571"/>
      <c r="HI117" s="571"/>
      <c r="HJ117" s="571"/>
      <c r="HK117" s="571"/>
      <c r="HL117" s="571"/>
      <c r="HM117" s="571"/>
      <c r="HN117" s="571"/>
      <c r="HO117" s="571"/>
      <c r="HP117" s="571"/>
      <c r="HQ117" s="571"/>
      <c r="HR117" s="571"/>
      <c r="HS117" s="571"/>
      <c r="HT117" s="571"/>
      <c r="HU117" s="571"/>
      <c r="HV117" s="571"/>
      <c r="HW117" s="571"/>
      <c r="HX117" s="571"/>
      <c r="HY117" s="571"/>
      <c r="HZ117" s="571"/>
      <c r="IA117" s="571"/>
      <c r="IB117" s="571"/>
      <c r="IC117" s="571"/>
      <c r="ID117" s="571"/>
      <c r="IE117" s="571"/>
      <c r="IF117" s="571"/>
      <c r="IG117" s="571"/>
      <c r="IH117" s="571"/>
      <c r="II117" s="571"/>
      <c r="IJ117" s="571"/>
      <c r="IK117" s="571"/>
      <c r="IL117" s="571"/>
      <c r="IM117" s="571"/>
      <c r="IN117" s="571"/>
      <c r="IO117" s="571"/>
      <c r="IP117" s="571"/>
      <c r="IQ117" s="571"/>
      <c r="IR117" s="571"/>
      <c r="IS117" s="571"/>
      <c r="IT117" s="571"/>
      <c r="IU117" s="571"/>
      <c r="IV117" s="571"/>
      <c r="IW117" s="571"/>
      <c r="IX117" s="571"/>
    </row>
    <row r="118" spans="1:258" s="332" customFormat="1" ht="30" customHeight="1" thickBot="1" x14ac:dyDescent="0.4">
      <c r="A118" s="369"/>
      <c r="B118" s="586" t="s">
        <v>46</v>
      </c>
      <c r="C118" s="587"/>
      <c r="D118" s="554">
        <f>SUM(E118:J118)</f>
        <v>1851100.1300741946</v>
      </c>
      <c r="E118" s="555">
        <f t="shared" ref="E118:J118" si="38">E117-E119</f>
        <v>280066.11009258695</v>
      </c>
      <c r="F118" s="555">
        <f t="shared" si="38"/>
        <v>22868.338244132425</v>
      </c>
      <c r="G118" s="555">
        <f t="shared" si="38"/>
        <v>602203.01460254902</v>
      </c>
      <c r="H118" s="555">
        <f t="shared" si="38"/>
        <v>447064.55093492614</v>
      </c>
      <c r="I118" s="555">
        <f t="shared" si="38"/>
        <v>420420.73351000011</v>
      </c>
      <c r="J118" s="556">
        <f t="shared" si="38"/>
        <v>78477.382689999969</v>
      </c>
      <c r="K118" s="554">
        <f>SUM(L118:Q118)</f>
        <v>1989892.9190309243</v>
      </c>
      <c r="L118" s="555">
        <f t="shared" ref="L118:Q118" si="39">L117-L119</f>
        <v>298539.73673800001</v>
      </c>
      <c r="M118" s="555">
        <f t="shared" si="39"/>
        <v>22980.547510484208</v>
      </c>
      <c r="N118" s="555">
        <f t="shared" si="39"/>
        <v>594854.20771410386</v>
      </c>
      <c r="O118" s="555">
        <f t="shared" si="39"/>
        <v>445244.49259537621</v>
      </c>
      <c r="P118" s="555">
        <f t="shared" si="39"/>
        <v>534476.41787231993</v>
      </c>
      <c r="Q118" s="557">
        <f t="shared" si="39"/>
        <v>93797.516600639996</v>
      </c>
      <c r="R118" s="551">
        <f t="shared" si="37"/>
        <v>3840993.049105119</v>
      </c>
      <c r="S118" s="552">
        <f t="shared" si="37"/>
        <v>578605.8468305869</v>
      </c>
      <c r="T118" s="552">
        <f t="shared" si="37"/>
        <v>45848.885754616633</v>
      </c>
      <c r="U118" s="552">
        <f t="shared" si="37"/>
        <v>1197057.222316653</v>
      </c>
      <c r="V118" s="552">
        <f t="shared" si="37"/>
        <v>892309.04353030236</v>
      </c>
      <c r="W118" s="553">
        <f>Q118+P118+J118+I118</f>
        <v>1127172.05067296</v>
      </c>
      <c r="X118" s="571"/>
      <c r="Y118" s="588"/>
      <c r="Z118" s="577"/>
      <c r="AA118" s="571"/>
      <c r="AB118" s="571"/>
      <c r="AC118" s="571"/>
      <c r="AD118" s="571"/>
      <c r="AE118" s="571"/>
      <c r="AF118" s="571"/>
      <c r="AG118" s="571"/>
      <c r="AH118" s="571"/>
      <c r="AI118" s="571"/>
      <c r="AJ118" s="571"/>
      <c r="AK118" s="571"/>
      <c r="AL118" s="571"/>
      <c r="AM118" s="571"/>
      <c r="AN118" s="571"/>
      <c r="AO118" s="571"/>
      <c r="AP118" s="571"/>
      <c r="AQ118" s="571"/>
      <c r="AR118" s="571"/>
      <c r="AS118" s="571"/>
      <c r="AT118" s="571"/>
      <c r="AU118" s="571"/>
      <c r="AV118" s="571"/>
      <c r="AW118" s="571"/>
      <c r="AX118" s="571"/>
      <c r="AY118" s="571"/>
      <c r="AZ118" s="571"/>
      <c r="BA118" s="571"/>
      <c r="BB118" s="571"/>
      <c r="BC118" s="571"/>
      <c r="BD118" s="571"/>
      <c r="BE118" s="571"/>
      <c r="BF118" s="571"/>
      <c r="BG118" s="571"/>
      <c r="BH118" s="571"/>
      <c r="BI118" s="571"/>
      <c r="BJ118" s="571"/>
      <c r="BK118" s="571"/>
      <c r="BL118" s="571"/>
      <c r="BM118" s="571"/>
      <c r="BN118" s="571"/>
      <c r="BO118" s="571"/>
      <c r="BP118" s="571"/>
      <c r="BQ118" s="571"/>
      <c r="BR118" s="571"/>
      <c r="BS118" s="571"/>
      <c r="BT118" s="571"/>
      <c r="BU118" s="571"/>
      <c r="BV118" s="571"/>
      <c r="BW118" s="571"/>
      <c r="BX118" s="571"/>
      <c r="BY118" s="571"/>
      <c r="BZ118" s="571"/>
      <c r="CA118" s="571"/>
      <c r="CB118" s="571"/>
      <c r="CC118" s="571"/>
      <c r="CD118" s="571"/>
      <c r="CE118" s="571"/>
      <c r="CF118" s="571"/>
      <c r="CG118" s="571"/>
      <c r="CH118" s="571"/>
      <c r="CI118" s="571"/>
      <c r="CJ118" s="571"/>
      <c r="CK118" s="571"/>
      <c r="CL118" s="571"/>
      <c r="CM118" s="571"/>
      <c r="CN118" s="571"/>
      <c r="CO118" s="571"/>
      <c r="CP118" s="571"/>
      <c r="CQ118" s="571"/>
      <c r="CR118" s="571"/>
      <c r="CS118" s="571"/>
      <c r="CT118" s="571"/>
      <c r="CU118" s="571"/>
      <c r="CV118" s="571"/>
      <c r="CW118" s="571"/>
      <c r="CX118" s="571"/>
      <c r="CY118" s="571"/>
      <c r="CZ118" s="571"/>
      <c r="DA118" s="571"/>
      <c r="DB118" s="571"/>
      <c r="DC118" s="571"/>
      <c r="DD118" s="571"/>
      <c r="DE118" s="571"/>
      <c r="DF118" s="571"/>
      <c r="DG118" s="571"/>
      <c r="DH118" s="571"/>
      <c r="DI118" s="571"/>
      <c r="DJ118" s="571"/>
      <c r="DK118" s="571"/>
      <c r="DL118" s="571"/>
      <c r="DM118" s="571"/>
      <c r="DN118" s="571"/>
      <c r="DO118" s="571"/>
      <c r="DP118" s="571"/>
      <c r="DQ118" s="571"/>
      <c r="DR118" s="571"/>
      <c r="DS118" s="571"/>
      <c r="DT118" s="571"/>
      <c r="DU118" s="571"/>
      <c r="DV118" s="571"/>
      <c r="DW118" s="571"/>
      <c r="DX118" s="571"/>
      <c r="DY118" s="571"/>
      <c r="DZ118" s="571"/>
      <c r="EA118" s="571"/>
      <c r="EB118" s="571"/>
      <c r="EC118" s="571"/>
      <c r="ED118" s="571"/>
      <c r="EE118" s="571"/>
      <c r="EF118" s="571"/>
      <c r="EG118" s="571"/>
      <c r="EH118" s="571"/>
      <c r="EI118" s="571"/>
      <c r="EJ118" s="571"/>
      <c r="EK118" s="571"/>
      <c r="EL118" s="571"/>
      <c r="EM118" s="571"/>
      <c r="EN118" s="571"/>
      <c r="EO118" s="571"/>
      <c r="EP118" s="571"/>
      <c r="EQ118" s="571"/>
      <c r="ER118" s="571"/>
      <c r="ES118" s="571"/>
      <c r="ET118" s="571"/>
      <c r="EU118" s="571"/>
      <c r="EV118" s="571"/>
      <c r="EW118" s="571"/>
      <c r="EX118" s="571"/>
      <c r="EY118" s="571"/>
      <c r="EZ118" s="571"/>
      <c r="FA118" s="571"/>
      <c r="FB118" s="571"/>
      <c r="FC118" s="571"/>
      <c r="FD118" s="571"/>
      <c r="FE118" s="571"/>
      <c r="FF118" s="571"/>
      <c r="FG118" s="571"/>
      <c r="FH118" s="571"/>
      <c r="FI118" s="571"/>
      <c r="FJ118" s="571"/>
      <c r="FK118" s="571"/>
      <c r="FL118" s="571"/>
      <c r="FM118" s="571"/>
      <c r="FN118" s="571"/>
      <c r="FO118" s="571"/>
      <c r="FP118" s="571"/>
      <c r="FQ118" s="571"/>
      <c r="FR118" s="571"/>
      <c r="FS118" s="571"/>
      <c r="FT118" s="571"/>
      <c r="FU118" s="571"/>
      <c r="FV118" s="571"/>
      <c r="FW118" s="571"/>
      <c r="FX118" s="571"/>
      <c r="FY118" s="571"/>
      <c r="FZ118" s="571"/>
      <c r="GA118" s="571"/>
      <c r="GB118" s="571"/>
      <c r="GC118" s="571"/>
      <c r="GD118" s="571"/>
      <c r="GE118" s="571"/>
      <c r="GF118" s="571"/>
      <c r="GG118" s="571"/>
      <c r="GH118" s="571"/>
      <c r="GI118" s="571"/>
      <c r="GJ118" s="571"/>
      <c r="GK118" s="571"/>
      <c r="GL118" s="571"/>
      <c r="GM118" s="571"/>
      <c r="GN118" s="571"/>
      <c r="GO118" s="571"/>
      <c r="GP118" s="571"/>
      <c r="GQ118" s="571"/>
      <c r="GR118" s="571"/>
      <c r="GS118" s="571"/>
      <c r="GT118" s="571"/>
      <c r="GU118" s="571"/>
      <c r="GV118" s="571"/>
      <c r="GW118" s="571"/>
      <c r="GX118" s="571"/>
      <c r="GY118" s="571"/>
      <c r="GZ118" s="571"/>
      <c r="HA118" s="571"/>
      <c r="HB118" s="571"/>
      <c r="HC118" s="571"/>
      <c r="HD118" s="571"/>
      <c r="HE118" s="571"/>
      <c r="HF118" s="571"/>
      <c r="HG118" s="571"/>
      <c r="HH118" s="571"/>
      <c r="HI118" s="571"/>
      <c r="HJ118" s="571"/>
      <c r="HK118" s="571"/>
      <c r="HL118" s="571"/>
      <c r="HM118" s="571"/>
      <c r="HN118" s="571"/>
      <c r="HO118" s="571"/>
      <c r="HP118" s="571"/>
      <c r="HQ118" s="571"/>
      <c r="HR118" s="571"/>
      <c r="HS118" s="571"/>
      <c r="HT118" s="571"/>
      <c r="HU118" s="571"/>
      <c r="HV118" s="571"/>
      <c r="HW118" s="571"/>
      <c r="HX118" s="571"/>
      <c r="HY118" s="571"/>
      <c r="HZ118" s="571"/>
      <c r="IA118" s="571"/>
      <c r="IB118" s="571"/>
      <c r="IC118" s="571"/>
      <c r="ID118" s="571"/>
      <c r="IE118" s="571"/>
      <c r="IF118" s="571"/>
      <c r="IG118" s="571"/>
      <c r="IH118" s="571"/>
      <c r="II118" s="571"/>
      <c r="IJ118" s="571"/>
      <c r="IK118" s="571"/>
      <c r="IL118" s="571"/>
      <c r="IM118" s="571"/>
      <c r="IN118" s="571"/>
      <c r="IO118" s="571"/>
      <c r="IP118" s="571"/>
      <c r="IQ118" s="571"/>
      <c r="IR118" s="571"/>
      <c r="IS118" s="571"/>
      <c r="IT118" s="571"/>
      <c r="IU118" s="571"/>
      <c r="IV118" s="571"/>
      <c r="IW118" s="571"/>
      <c r="IX118" s="571"/>
    </row>
    <row r="119" spans="1:258" s="332" customFormat="1" ht="30" customHeight="1" x14ac:dyDescent="0.35">
      <c r="A119" s="369"/>
      <c r="B119" s="586" t="s">
        <v>47</v>
      </c>
      <c r="C119" s="587"/>
      <c r="D119" s="554">
        <f>SUM(E119:J119)</f>
        <v>773131.89485375839</v>
      </c>
      <c r="E119" s="555">
        <f>E110*E113</f>
        <v>41459.666870283239</v>
      </c>
      <c r="F119" s="555">
        <f>F110*F113</f>
        <v>5191.2295885420899</v>
      </c>
      <c r="G119" s="555">
        <f>G110*G113</f>
        <v>165450.29785496669</v>
      </c>
      <c r="H119" s="555">
        <f>H110*H113</f>
        <v>196391.82215596639</v>
      </c>
      <c r="I119" s="555">
        <f>I110*H113</f>
        <v>223507.85504800006</v>
      </c>
      <c r="J119" s="556">
        <f>J110*H113</f>
        <v>141131.02333599998</v>
      </c>
      <c r="K119" s="558">
        <f>SUM(L119:Q119)</f>
        <v>844855.43398473016</v>
      </c>
      <c r="L119" s="555">
        <f>L110*L113</f>
        <v>44194.41548499999</v>
      </c>
      <c r="M119" s="555">
        <f>M110*M113</f>
        <v>5216.7016651475433</v>
      </c>
      <c r="N119" s="555">
        <f>N110*N113</f>
        <v>163431.27393929541</v>
      </c>
      <c r="O119" s="555">
        <f>O110*O113</f>
        <v>195592.2853262471</v>
      </c>
      <c r="P119" s="555">
        <f>P110*O113</f>
        <v>276724.10298567999</v>
      </c>
      <c r="Q119" s="557">
        <f>Q110*O113</f>
        <v>159696.65458336001</v>
      </c>
      <c r="R119" s="551">
        <f t="shared" si="37"/>
        <v>1617987.3288384886</v>
      </c>
      <c r="S119" s="552">
        <f t="shared" si="37"/>
        <v>85654.08235528323</v>
      </c>
      <c r="T119" s="552">
        <f t="shared" si="37"/>
        <v>10407.931253689632</v>
      </c>
      <c r="U119" s="552">
        <f t="shared" si="37"/>
        <v>328881.5717942621</v>
      </c>
      <c r="V119" s="552">
        <f t="shared" si="37"/>
        <v>391984.10748221353</v>
      </c>
      <c r="W119" s="553">
        <f>Q119+P119+J119+I119</f>
        <v>801059.6359530401</v>
      </c>
      <c r="X119" s="571"/>
      <c r="Y119" s="589"/>
      <c r="Z119" s="577"/>
      <c r="AA119" s="571"/>
      <c r="AB119" s="571"/>
      <c r="AC119" s="571"/>
      <c r="AD119" s="571"/>
      <c r="AE119" s="571"/>
      <c r="AF119" s="571"/>
      <c r="AG119" s="571"/>
      <c r="AH119" s="571"/>
      <c r="AI119" s="571"/>
      <c r="AJ119" s="571"/>
      <c r="AK119" s="571"/>
      <c r="AL119" s="571"/>
      <c r="AM119" s="571"/>
      <c r="AN119" s="571"/>
      <c r="AO119" s="571"/>
      <c r="AP119" s="571"/>
      <c r="AQ119" s="571"/>
      <c r="AR119" s="571"/>
      <c r="AS119" s="571"/>
      <c r="AT119" s="571"/>
      <c r="AU119" s="571"/>
      <c r="AV119" s="571"/>
      <c r="AW119" s="571"/>
      <c r="AX119" s="571"/>
      <c r="AY119" s="571"/>
      <c r="AZ119" s="571"/>
      <c r="BA119" s="571"/>
      <c r="BB119" s="571"/>
      <c r="BC119" s="571"/>
      <c r="BD119" s="571"/>
      <c r="BE119" s="571"/>
      <c r="BF119" s="571"/>
      <c r="BG119" s="571"/>
      <c r="BH119" s="571"/>
      <c r="BI119" s="571"/>
      <c r="BJ119" s="571"/>
      <c r="BK119" s="571"/>
      <c r="BL119" s="571"/>
      <c r="BM119" s="571"/>
      <c r="BN119" s="571"/>
      <c r="BO119" s="571"/>
      <c r="BP119" s="571"/>
      <c r="BQ119" s="571"/>
      <c r="BR119" s="571"/>
      <c r="BS119" s="571"/>
      <c r="BT119" s="571"/>
      <c r="BU119" s="571"/>
      <c r="BV119" s="571"/>
      <c r="BW119" s="571"/>
      <c r="BX119" s="571"/>
      <c r="BY119" s="571"/>
      <c r="BZ119" s="571"/>
      <c r="CA119" s="571"/>
      <c r="CB119" s="571"/>
      <c r="CC119" s="571"/>
      <c r="CD119" s="571"/>
      <c r="CE119" s="571"/>
      <c r="CF119" s="571"/>
      <c r="CG119" s="571"/>
      <c r="CH119" s="571"/>
      <c r="CI119" s="571"/>
      <c r="CJ119" s="571"/>
      <c r="CK119" s="571"/>
      <c r="CL119" s="571"/>
      <c r="CM119" s="571"/>
      <c r="CN119" s="571"/>
      <c r="CO119" s="571"/>
      <c r="CP119" s="571"/>
      <c r="CQ119" s="571"/>
      <c r="CR119" s="571"/>
      <c r="CS119" s="571"/>
      <c r="CT119" s="571"/>
      <c r="CU119" s="571"/>
      <c r="CV119" s="571"/>
      <c r="CW119" s="571"/>
      <c r="CX119" s="571"/>
      <c r="CY119" s="571"/>
      <c r="CZ119" s="571"/>
      <c r="DA119" s="571"/>
      <c r="DB119" s="571"/>
      <c r="DC119" s="571"/>
      <c r="DD119" s="571"/>
      <c r="DE119" s="571"/>
      <c r="DF119" s="571"/>
      <c r="DG119" s="571"/>
      <c r="DH119" s="571"/>
      <c r="DI119" s="571"/>
      <c r="DJ119" s="571"/>
      <c r="DK119" s="571"/>
      <c r="DL119" s="571"/>
      <c r="DM119" s="571"/>
      <c r="DN119" s="571"/>
      <c r="DO119" s="571"/>
      <c r="DP119" s="571"/>
      <c r="DQ119" s="571"/>
      <c r="DR119" s="571"/>
      <c r="DS119" s="571"/>
      <c r="DT119" s="571"/>
      <c r="DU119" s="571"/>
      <c r="DV119" s="571"/>
      <c r="DW119" s="571"/>
      <c r="DX119" s="571"/>
      <c r="DY119" s="571"/>
      <c r="DZ119" s="571"/>
      <c r="EA119" s="571"/>
      <c r="EB119" s="571"/>
      <c r="EC119" s="571"/>
      <c r="ED119" s="571"/>
      <c r="EE119" s="571"/>
      <c r="EF119" s="571"/>
      <c r="EG119" s="571"/>
      <c r="EH119" s="571"/>
      <c r="EI119" s="571"/>
      <c r="EJ119" s="571"/>
      <c r="EK119" s="571"/>
      <c r="EL119" s="571"/>
      <c r="EM119" s="571"/>
      <c r="EN119" s="571"/>
      <c r="EO119" s="571"/>
      <c r="EP119" s="571"/>
      <c r="EQ119" s="571"/>
      <c r="ER119" s="571"/>
      <c r="ES119" s="571"/>
      <c r="ET119" s="571"/>
      <c r="EU119" s="571"/>
      <c r="EV119" s="571"/>
      <c r="EW119" s="571"/>
      <c r="EX119" s="571"/>
      <c r="EY119" s="571"/>
      <c r="EZ119" s="571"/>
      <c r="FA119" s="571"/>
      <c r="FB119" s="571"/>
      <c r="FC119" s="571"/>
      <c r="FD119" s="571"/>
      <c r="FE119" s="571"/>
      <c r="FF119" s="571"/>
      <c r="FG119" s="571"/>
      <c r="FH119" s="571"/>
      <c r="FI119" s="571"/>
      <c r="FJ119" s="571"/>
      <c r="FK119" s="571"/>
      <c r="FL119" s="571"/>
      <c r="FM119" s="571"/>
      <c r="FN119" s="571"/>
      <c r="FO119" s="571"/>
      <c r="FP119" s="571"/>
      <c r="FQ119" s="571"/>
      <c r="FR119" s="571"/>
      <c r="FS119" s="571"/>
      <c r="FT119" s="571"/>
      <c r="FU119" s="571"/>
      <c r="FV119" s="571"/>
      <c r="FW119" s="571"/>
      <c r="FX119" s="571"/>
      <c r="FY119" s="571"/>
      <c r="FZ119" s="571"/>
      <c r="GA119" s="571"/>
      <c r="GB119" s="571"/>
      <c r="GC119" s="571"/>
      <c r="GD119" s="571"/>
      <c r="GE119" s="571"/>
      <c r="GF119" s="571"/>
      <c r="GG119" s="571"/>
      <c r="GH119" s="571"/>
      <c r="GI119" s="571"/>
      <c r="GJ119" s="571"/>
      <c r="GK119" s="571"/>
      <c r="GL119" s="571"/>
      <c r="GM119" s="571"/>
      <c r="GN119" s="571"/>
      <c r="GO119" s="571"/>
      <c r="GP119" s="571"/>
      <c r="GQ119" s="571"/>
      <c r="GR119" s="571"/>
      <c r="GS119" s="571"/>
      <c r="GT119" s="571"/>
      <c r="GU119" s="571"/>
      <c r="GV119" s="571"/>
      <c r="GW119" s="571"/>
      <c r="GX119" s="571"/>
      <c r="GY119" s="571"/>
      <c r="GZ119" s="571"/>
      <c r="HA119" s="571"/>
      <c r="HB119" s="571"/>
      <c r="HC119" s="571"/>
      <c r="HD119" s="571"/>
      <c r="HE119" s="571"/>
      <c r="HF119" s="571"/>
      <c r="HG119" s="571"/>
      <c r="HH119" s="571"/>
      <c r="HI119" s="571"/>
      <c r="HJ119" s="571"/>
      <c r="HK119" s="571"/>
      <c r="HL119" s="571"/>
      <c r="HM119" s="571"/>
      <c r="HN119" s="571"/>
      <c r="HO119" s="571"/>
      <c r="HP119" s="571"/>
      <c r="HQ119" s="571"/>
      <c r="HR119" s="571"/>
      <c r="HS119" s="571"/>
      <c r="HT119" s="571"/>
      <c r="HU119" s="571"/>
      <c r="HV119" s="571"/>
      <c r="HW119" s="571"/>
      <c r="HX119" s="571"/>
      <c r="HY119" s="571"/>
      <c r="HZ119" s="571"/>
      <c r="IA119" s="571"/>
      <c r="IB119" s="571"/>
      <c r="IC119" s="571"/>
      <c r="ID119" s="571"/>
      <c r="IE119" s="571"/>
      <c r="IF119" s="571"/>
      <c r="IG119" s="571"/>
      <c r="IH119" s="571"/>
      <c r="II119" s="571"/>
      <c r="IJ119" s="571"/>
      <c r="IK119" s="571"/>
      <c r="IL119" s="571"/>
      <c r="IM119" s="571"/>
      <c r="IN119" s="571"/>
      <c r="IO119" s="571"/>
      <c r="IP119" s="571"/>
      <c r="IQ119" s="571"/>
      <c r="IR119" s="571"/>
      <c r="IS119" s="571"/>
      <c r="IT119" s="571"/>
      <c r="IU119" s="571"/>
      <c r="IV119" s="571"/>
      <c r="IW119" s="571"/>
      <c r="IX119" s="571"/>
    </row>
    <row r="120" spans="1:258" s="332" customFormat="1" ht="37.5" customHeight="1" thickBot="1" x14ac:dyDescent="0.4">
      <c r="A120" s="375">
        <v>7</v>
      </c>
      <c r="B120" s="590" t="s">
        <v>30</v>
      </c>
      <c r="C120" s="591" t="s">
        <v>29</v>
      </c>
      <c r="D120" s="569">
        <f>SUM(E120:J120)</f>
        <v>2624232.0249279533</v>
      </c>
      <c r="E120" s="559">
        <f t="shared" ref="E120:J120" si="40">E110*E115</f>
        <v>321525.77696287015</v>
      </c>
      <c r="F120" s="559">
        <f t="shared" si="40"/>
        <v>28059.567832674515</v>
      </c>
      <c r="G120" s="559">
        <f t="shared" si="40"/>
        <v>767653.31245751574</v>
      </c>
      <c r="H120" s="559">
        <f t="shared" si="40"/>
        <v>643456.37309089268</v>
      </c>
      <c r="I120" s="559">
        <f t="shared" si="40"/>
        <v>643928.58855800016</v>
      </c>
      <c r="J120" s="560">
        <f t="shared" si="40"/>
        <v>219608.40602599995</v>
      </c>
      <c r="K120" s="568">
        <f>SUM(L120:Q120)</f>
        <v>2834748.3530156543</v>
      </c>
      <c r="L120" s="559">
        <f t="shared" ref="L120:Q120" si="41">L110*L115</f>
        <v>342734.15222300001</v>
      </c>
      <c r="M120" s="559">
        <f t="shared" si="41"/>
        <v>28197.249175631747</v>
      </c>
      <c r="N120" s="559">
        <f t="shared" si="41"/>
        <v>758285.4816533993</v>
      </c>
      <c r="O120" s="559">
        <f t="shared" si="41"/>
        <v>640836.77792162332</v>
      </c>
      <c r="P120" s="559">
        <f t="shared" si="41"/>
        <v>811200.52085799992</v>
      </c>
      <c r="Q120" s="561">
        <f t="shared" si="41"/>
        <v>253494.17118400001</v>
      </c>
      <c r="R120" s="565">
        <f t="shared" si="37"/>
        <v>5458980.377943607</v>
      </c>
      <c r="S120" s="562">
        <f t="shared" si="37"/>
        <v>664259.9291858701</v>
      </c>
      <c r="T120" s="562">
        <f t="shared" si="37"/>
        <v>56256.817008306258</v>
      </c>
      <c r="U120" s="562">
        <f t="shared" si="37"/>
        <v>1525938.7941109152</v>
      </c>
      <c r="V120" s="562">
        <f t="shared" si="37"/>
        <v>1284293.1510125161</v>
      </c>
      <c r="W120" s="563">
        <f>I120+P120+J120+Q120</f>
        <v>1928231.6866260001</v>
      </c>
      <c r="X120" s="571"/>
      <c r="Y120" s="571"/>
      <c r="Z120" s="577"/>
      <c r="AA120" s="571"/>
      <c r="AB120" s="571"/>
      <c r="AC120" s="571"/>
      <c r="AD120" s="571"/>
      <c r="AE120" s="571"/>
      <c r="AF120" s="571"/>
      <c r="AG120" s="571"/>
      <c r="AH120" s="571"/>
      <c r="AI120" s="571"/>
      <c r="AJ120" s="571"/>
      <c r="AK120" s="571"/>
      <c r="AL120" s="571"/>
      <c r="AM120" s="571"/>
      <c r="AN120" s="571"/>
      <c r="AO120" s="571"/>
      <c r="AP120" s="571"/>
      <c r="AQ120" s="571"/>
      <c r="AR120" s="571"/>
      <c r="AS120" s="571"/>
      <c r="AT120" s="571"/>
      <c r="AU120" s="571"/>
      <c r="AV120" s="571"/>
      <c r="AW120" s="571"/>
      <c r="AX120" s="571"/>
      <c r="AY120" s="571"/>
      <c r="AZ120" s="571"/>
      <c r="BA120" s="571"/>
      <c r="BB120" s="571"/>
      <c r="BC120" s="571"/>
      <c r="BD120" s="571"/>
      <c r="BE120" s="571"/>
      <c r="BF120" s="571"/>
      <c r="BG120" s="571"/>
      <c r="BH120" s="571"/>
      <c r="BI120" s="571"/>
      <c r="BJ120" s="571"/>
      <c r="BK120" s="571"/>
      <c r="BL120" s="571"/>
      <c r="BM120" s="571"/>
      <c r="BN120" s="571"/>
      <c r="BO120" s="571"/>
      <c r="BP120" s="571"/>
      <c r="BQ120" s="571"/>
      <c r="BR120" s="571"/>
      <c r="BS120" s="571"/>
      <c r="BT120" s="571"/>
      <c r="BU120" s="571"/>
      <c r="BV120" s="571"/>
      <c r="BW120" s="571"/>
      <c r="BX120" s="571"/>
      <c r="BY120" s="571"/>
      <c r="BZ120" s="571"/>
      <c r="CA120" s="571"/>
      <c r="CB120" s="571"/>
      <c r="CC120" s="571"/>
      <c r="CD120" s="571"/>
      <c r="CE120" s="571"/>
      <c r="CF120" s="571"/>
      <c r="CG120" s="571"/>
      <c r="CH120" s="571"/>
      <c r="CI120" s="571"/>
      <c r="CJ120" s="571"/>
      <c r="CK120" s="571"/>
      <c r="CL120" s="571"/>
      <c r="CM120" s="571"/>
      <c r="CN120" s="571"/>
      <c r="CO120" s="571"/>
      <c r="CP120" s="571"/>
      <c r="CQ120" s="571"/>
      <c r="CR120" s="571"/>
      <c r="CS120" s="571"/>
      <c r="CT120" s="571"/>
      <c r="CU120" s="571"/>
      <c r="CV120" s="571"/>
      <c r="CW120" s="571"/>
      <c r="CX120" s="571"/>
      <c r="CY120" s="571"/>
      <c r="CZ120" s="571"/>
      <c r="DA120" s="571"/>
      <c r="DB120" s="571"/>
      <c r="DC120" s="571"/>
      <c r="DD120" s="571"/>
      <c r="DE120" s="571"/>
      <c r="DF120" s="571"/>
      <c r="DG120" s="571"/>
      <c r="DH120" s="571"/>
      <c r="DI120" s="571"/>
      <c r="DJ120" s="571"/>
      <c r="DK120" s="571"/>
      <c r="DL120" s="571"/>
      <c r="DM120" s="571"/>
      <c r="DN120" s="571"/>
      <c r="DO120" s="571"/>
      <c r="DP120" s="571"/>
      <c r="DQ120" s="571"/>
      <c r="DR120" s="571"/>
      <c r="DS120" s="571"/>
      <c r="DT120" s="571"/>
      <c r="DU120" s="571"/>
      <c r="DV120" s="571"/>
      <c r="DW120" s="571"/>
      <c r="DX120" s="571"/>
      <c r="DY120" s="571"/>
      <c r="DZ120" s="571"/>
      <c r="EA120" s="571"/>
      <c r="EB120" s="571"/>
      <c r="EC120" s="571"/>
      <c r="ED120" s="571"/>
      <c r="EE120" s="571"/>
      <c r="EF120" s="571"/>
      <c r="EG120" s="571"/>
      <c r="EH120" s="571"/>
      <c r="EI120" s="571"/>
      <c r="EJ120" s="571"/>
      <c r="EK120" s="571"/>
      <c r="EL120" s="571"/>
      <c r="EM120" s="571"/>
      <c r="EN120" s="571"/>
      <c r="EO120" s="571"/>
      <c r="EP120" s="571"/>
      <c r="EQ120" s="571"/>
      <c r="ER120" s="571"/>
      <c r="ES120" s="571"/>
      <c r="ET120" s="571"/>
      <c r="EU120" s="571"/>
      <c r="EV120" s="571"/>
      <c r="EW120" s="571"/>
      <c r="EX120" s="571"/>
      <c r="EY120" s="571"/>
      <c r="EZ120" s="571"/>
      <c r="FA120" s="571"/>
      <c r="FB120" s="571"/>
      <c r="FC120" s="571"/>
      <c r="FD120" s="571"/>
      <c r="FE120" s="571"/>
      <c r="FF120" s="571"/>
      <c r="FG120" s="571"/>
      <c r="FH120" s="571"/>
      <c r="FI120" s="571"/>
      <c r="FJ120" s="571"/>
      <c r="FK120" s="571"/>
      <c r="FL120" s="571"/>
      <c r="FM120" s="571"/>
      <c r="FN120" s="571"/>
      <c r="FO120" s="571"/>
      <c r="FP120" s="571"/>
      <c r="FQ120" s="571"/>
      <c r="FR120" s="571"/>
      <c r="FS120" s="571"/>
      <c r="FT120" s="571"/>
      <c r="FU120" s="571"/>
      <c r="FV120" s="571"/>
      <c r="FW120" s="571"/>
      <c r="FX120" s="571"/>
      <c r="FY120" s="571"/>
      <c r="FZ120" s="571"/>
      <c r="GA120" s="571"/>
      <c r="GB120" s="571"/>
      <c r="GC120" s="571"/>
      <c r="GD120" s="571"/>
      <c r="GE120" s="571"/>
      <c r="GF120" s="571"/>
      <c r="GG120" s="571"/>
      <c r="GH120" s="571"/>
      <c r="GI120" s="571"/>
      <c r="GJ120" s="571"/>
      <c r="GK120" s="571"/>
      <c r="GL120" s="571"/>
      <c r="GM120" s="571"/>
      <c r="GN120" s="571"/>
      <c r="GO120" s="571"/>
      <c r="GP120" s="571"/>
      <c r="GQ120" s="571"/>
      <c r="GR120" s="571"/>
      <c r="GS120" s="571"/>
      <c r="GT120" s="571"/>
      <c r="GU120" s="571"/>
      <c r="GV120" s="571"/>
      <c r="GW120" s="571"/>
      <c r="GX120" s="571"/>
      <c r="GY120" s="571"/>
      <c r="GZ120" s="571"/>
      <c r="HA120" s="571"/>
      <c r="HB120" s="571"/>
      <c r="HC120" s="571"/>
      <c r="HD120" s="571"/>
      <c r="HE120" s="571"/>
      <c r="HF120" s="571"/>
      <c r="HG120" s="571"/>
      <c r="HH120" s="571"/>
      <c r="HI120" s="571"/>
      <c r="HJ120" s="571"/>
      <c r="HK120" s="571"/>
      <c r="HL120" s="571"/>
      <c r="HM120" s="571"/>
      <c r="HN120" s="571"/>
      <c r="HO120" s="571"/>
      <c r="HP120" s="571"/>
      <c r="HQ120" s="571"/>
      <c r="HR120" s="571"/>
      <c r="HS120" s="571"/>
      <c r="HT120" s="571"/>
      <c r="HU120" s="571"/>
      <c r="HV120" s="571"/>
      <c r="HW120" s="571"/>
      <c r="HX120" s="571"/>
      <c r="HY120" s="571"/>
      <c r="HZ120" s="571"/>
      <c r="IA120" s="571"/>
      <c r="IB120" s="571"/>
      <c r="IC120" s="571"/>
      <c r="ID120" s="571"/>
      <c r="IE120" s="571"/>
      <c r="IF120" s="571"/>
      <c r="IG120" s="571"/>
      <c r="IH120" s="571"/>
      <c r="II120" s="571"/>
      <c r="IJ120" s="571"/>
      <c r="IK120" s="571"/>
      <c r="IL120" s="571"/>
      <c r="IM120" s="571"/>
      <c r="IN120" s="571"/>
      <c r="IO120" s="571"/>
      <c r="IP120" s="571"/>
      <c r="IQ120" s="571"/>
      <c r="IR120" s="571"/>
      <c r="IS120" s="571"/>
      <c r="IT120" s="571"/>
      <c r="IU120" s="571"/>
      <c r="IV120" s="571"/>
      <c r="IW120" s="571"/>
      <c r="IX120" s="571"/>
    </row>
    <row r="121" spans="1:258" ht="18" customHeight="1" x14ac:dyDescent="0.25">
      <c r="A121" s="384"/>
      <c r="B121" s="384"/>
      <c r="C121" s="384"/>
      <c r="D121" s="384"/>
      <c r="E121" s="384"/>
      <c r="F121" s="384"/>
      <c r="G121" s="384"/>
      <c r="H121" s="384"/>
      <c r="I121" s="384"/>
      <c r="J121" s="384"/>
      <c r="K121" s="384"/>
      <c r="L121" s="384"/>
      <c r="M121" s="384"/>
      <c r="N121" s="384"/>
      <c r="O121" s="384"/>
      <c r="P121" s="384"/>
      <c r="Q121" s="384"/>
      <c r="R121" s="384"/>
      <c r="S121" s="384"/>
      <c r="T121" s="384"/>
      <c r="U121" s="384"/>
      <c r="V121" s="384"/>
      <c r="W121" s="384"/>
      <c r="X121" s="384"/>
    </row>
    <row r="122" spans="1:258" x14ac:dyDescent="0.25">
      <c r="A122" s="384"/>
      <c r="B122" s="384"/>
      <c r="C122" s="384"/>
      <c r="D122" s="384"/>
      <c r="E122" s="384"/>
      <c r="F122" s="384"/>
      <c r="G122" s="610"/>
      <c r="H122" s="610"/>
      <c r="I122" s="610"/>
      <c r="J122" s="610"/>
      <c r="K122" s="610"/>
      <c r="L122" s="610"/>
      <c r="M122" s="610"/>
      <c r="N122" s="610"/>
      <c r="O122" s="610"/>
      <c r="P122" s="384"/>
      <c r="Q122" s="384"/>
      <c r="R122" s="384"/>
      <c r="S122" s="384"/>
      <c r="T122" s="384"/>
      <c r="U122" s="384"/>
      <c r="V122" s="384"/>
      <c r="W122" s="384"/>
      <c r="X122" s="384"/>
    </row>
    <row r="123" spans="1:258" ht="55.5" customHeight="1" thickBot="1" x14ac:dyDescent="0.3">
      <c r="A123" s="386" t="s">
        <v>65</v>
      </c>
      <c r="B123" s="387"/>
      <c r="C123" s="467"/>
      <c r="D123" s="467"/>
      <c r="E123" s="467"/>
      <c r="F123" s="467"/>
      <c r="G123" s="611" t="s">
        <v>70</v>
      </c>
      <c r="H123" s="612">
        <v>1.0289999999999999</v>
      </c>
      <c r="I123" s="613"/>
      <c r="J123" s="613"/>
      <c r="K123" s="614" t="s">
        <v>71</v>
      </c>
      <c r="L123" s="612">
        <v>1.024</v>
      </c>
      <c r="M123" s="614" t="s">
        <v>72</v>
      </c>
      <c r="N123" s="612">
        <v>1.1100000000000001</v>
      </c>
      <c r="O123" s="614" t="s">
        <v>56</v>
      </c>
      <c r="P123" s="391"/>
      <c r="Q123" s="387"/>
      <c r="R123" s="387"/>
      <c r="S123" s="387"/>
      <c r="T123" s="387"/>
      <c r="U123" s="387"/>
      <c r="V123" s="387"/>
      <c r="W123" s="387"/>
      <c r="X123" s="384"/>
    </row>
    <row r="124" spans="1:258" ht="37.5" customHeight="1" thickBot="1" x14ac:dyDescent="0.3">
      <c r="A124" s="664" t="s">
        <v>1</v>
      </c>
      <c r="B124" s="666" t="s">
        <v>2</v>
      </c>
      <c r="C124" s="668"/>
      <c r="D124" s="670" t="s">
        <v>66</v>
      </c>
      <c r="E124" s="671"/>
      <c r="F124" s="671"/>
      <c r="G124" s="671"/>
      <c r="H124" s="671"/>
      <c r="I124" s="671"/>
      <c r="J124" s="672"/>
      <c r="K124" s="673" t="s">
        <v>67</v>
      </c>
      <c r="L124" s="674"/>
      <c r="M124" s="674"/>
      <c r="N124" s="674"/>
      <c r="O124" s="674"/>
      <c r="P124" s="674"/>
      <c r="Q124" s="675"/>
      <c r="R124" s="673">
        <v>2019</v>
      </c>
      <c r="S124" s="674"/>
      <c r="T124" s="674"/>
      <c r="U124" s="674"/>
      <c r="V124" s="674"/>
      <c r="W124" s="676"/>
      <c r="X124" s="384"/>
    </row>
    <row r="125" spans="1:258" ht="47.25" customHeight="1" thickBot="1" x14ac:dyDescent="0.3">
      <c r="A125" s="665"/>
      <c r="B125" s="667"/>
      <c r="C125" s="669"/>
      <c r="D125" s="317" t="s">
        <v>5</v>
      </c>
      <c r="E125" s="318" t="s">
        <v>6</v>
      </c>
      <c r="F125" s="318" t="s">
        <v>7</v>
      </c>
      <c r="G125" s="318" t="s">
        <v>8</v>
      </c>
      <c r="H125" s="318" t="s">
        <v>9</v>
      </c>
      <c r="I125" s="319" t="s">
        <v>42</v>
      </c>
      <c r="J125" s="320" t="s">
        <v>43</v>
      </c>
      <c r="K125" s="317" t="s">
        <v>5</v>
      </c>
      <c r="L125" s="318" t="s">
        <v>6</v>
      </c>
      <c r="M125" s="318" t="s">
        <v>7</v>
      </c>
      <c r="N125" s="318" t="s">
        <v>8</v>
      </c>
      <c r="O125" s="318" t="s">
        <v>9</v>
      </c>
      <c r="P125" s="319" t="s">
        <v>42</v>
      </c>
      <c r="Q125" s="320" t="s">
        <v>43</v>
      </c>
      <c r="R125" s="321" t="s">
        <v>5</v>
      </c>
      <c r="S125" s="322" t="s">
        <v>6</v>
      </c>
      <c r="T125" s="322" t="s">
        <v>7</v>
      </c>
      <c r="U125" s="322" t="s">
        <v>8</v>
      </c>
      <c r="V125" s="322" t="s">
        <v>9</v>
      </c>
      <c r="W125" s="323" t="s">
        <v>88</v>
      </c>
      <c r="X125" s="384"/>
      <c r="Y125" s="108" t="s">
        <v>44</v>
      </c>
      <c r="Z125" s="108">
        <f>(R137-W137)/(R127-W127)</f>
        <v>1931.1149289705215</v>
      </c>
    </row>
    <row r="126" spans="1:258" ht="63.75" customHeight="1" x14ac:dyDescent="0.35">
      <c r="A126" s="500" t="s">
        <v>12</v>
      </c>
      <c r="B126" s="592" t="s">
        <v>13</v>
      </c>
      <c r="C126" s="501" t="s">
        <v>14</v>
      </c>
      <c r="D126" s="515">
        <f>E126+F126+G126+H126+I126</f>
        <v>424.38993973018694</v>
      </c>
      <c r="E126" s="516">
        <f>(E137-E127*E130)/(E128/1000*6)</f>
        <v>93.656940505888272</v>
      </c>
      <c r="F126" s="516">
        <f>(F137-F127*F130)/(F128/1000*6)</f>
        <v>7.1676494712250927</v>
      </c>
      <c r="G126" s="516">
        <f>(G137-G127*G130)/(G128/1000*6)</f>
        <v>95.240702770448678</v>
      </c>
      <c r="H126" s="516">
        <f>(H137-H127*H130)/(H128/1000*6)</f>
        <v>72.189146982624933</v>
      </c>
      <c r="I126" s="662">
        <v>156.13550000000001</v>
      </c>
      <c r="J126" s="663"/>
      <c r="K126" s="515">
        <f>L126+M126+N126+O126+P126</f>
        <v>437.15618198089487</v>
      </c>
      <c r="L126" s="516">
        <f>(L137-L127*L130)/(L128/1000*6)</f>
        <v>74.446958191299501</v>
      </c>
      <c r="M126" s="516">
        <f>(M137-M127*M130)/(M128/1000*6)</f>
        <v>6.9016024298403442</v>
      </c>
      <c r="N126" s="516">
        <f>(N137-N127*N130)/(N128/1000*6)</f>
        <v>106.77614088397104</v>
      </c>
      <c r="O126" s="516">
        <f>(O137-O127*O130)/(O128/1000*6)</f>
        <v>82.437680475783992</v>
      </c>
      <c r="P126" s="655">
        <v>166.59379999999999</v>
      </c>
      <c r="Q126" s="657"/>
      <c r="R126" s="517">
        <f t="shared" ref="R126:V126" si="42">(D126+K126)/2</f>
        <v>430.7730608555409</v>
      </c>
      <c r="S126" s="518">
        <f t="shared" si="42"/>
        <v>84.051949348593894</v>
      </c>
      <c r="T126" s="519">
        <f t="shared" si="42"/>
        <v>7.0346259505327184</v>
      </c>
      <c r="U126" s="520">
        <f t="shared" si="42"/>
        <v>101.00842182720986</v>
      </c>
      <c r="V126" s="520">
        <f t="shared" si="42"/>
        <v>77.313413729204456</v>
      </c>
      <c r="W126" s="521">
        <f>W127/6000*1000</f>
        <v>161.36664999999999</v>
      </c>
      <c r="X126" s="405">
        <v>430.77</v>
      </c>
      <c r="Y126" s="108" t="s">
        <v>45</v>
      </c>
      <c r="Z126" s="108">
        <f>W137/W127</f>
        <v>2199.2188503606517</v>
      </c>
    </row>
    <row r="127" spans="1:258" ht="62.25" customHeight="1" x14ac:dyDescent="0.35">
      <c r="A127" s="500" t="s">
        <v>15</v>
      </c>
      <c r="B127" s="592" t="s">
        <v>16</v>
      </c>
      <c r="C127" s="501" t="s">
        <v>17</v>
      </c>
      <c r="D127" s="515">
        <f>E127+F127+G127+H127+I127+J127</f>
        <v>1424.0574351552455</v>
      </c>
      <c r="E127" s="522">
        <f>350+20+30</f>
        <v>400</v>
      </c>
      <c r="F127" s="522">
        <v>22.392084892256275</v>
      </c>
      <c r="G127" s="522">
        <v>280.09295026298929</v>
      </c>
      <c r="H127" s="522">
        <v>253.16</v>
      </c>
      <c r="I127" s="522">
        <v>272.802834488651</v>
      </c>
      <c r="J127" s="522">
        <v>195.60956551134905</v>
      </c>
      <c r="K127" s="515">
        <f>L127+M127+N127+O127+P127+Q127</f>
        <v>1459.1725648447546</v>
      </c>
      <c r="L127" s="522">
        <f>R127-D127-M127-N127-O127-P127-Q127</f>
        <v>320.14046412680483</v>
      </c>
      <c r="M127" s="522">
        <v>21.846560486874672</v>
      </c>
      <c r="N127" s="522">
        <f>329.898540231075-9.8-0.7</f>
        <v>319.398540231075</v>
      </c>
      <c r="O127" s="522">
        <v>298</v>
      </c>
      <c r="P127" s="522">
        <v>317.98599999999999</v>
      </c>
      <c r="Q127" s="522">
        <v>181.80099999999999</v>
      </c>
      <c r="R127" s="697">
        <v>2883.23</v>
      </c>
      <c r="S127" s="524">
        <f>E127+L127</f>
        <v>720.14046412680477</v>
      </c>
      <c r="T127" s="522">
        <f>F127+M127</f>
        <v>44.238645379130944</v>
      </c>
      <c r="U127" s="522">
        <f>G127+N127</f>
        <v>599.49149049406424</v>
      </c>
      <c r="V127" s="522">
        <f>H127+O127</f>
        <v>551.16</v>
      </c>
      <c r="W127" s="525">
        <v>968.19989999999996</v>
      </c>
      <c r="X127" s="405">
        <f>R127-K127-D127</f>
        <v>0</v>
      </c>
      <c r="Y127" s="108"/>
      <c r="Z127" s="108"/>
    </row>
    <row r="128" spans="1:258" ht="30.75" customHeight="1" x14ac:dyDescent="0.25">
      <c r="A128" s="502" t="s">
        <v>18</v>
      </c>
      <c r="B128" s="599" t="s">
        <v>19</v>
      </c>
      <c r="C128" s="501" t="s">
        <v>20</v>
      </c>
      <c r="D128" s="526"/>
      <c r="E128" s="527">
        <v>618342.7840000001</v>
      </c>
      <c r="F128" s="527">
        <v>550174.31459999993</v>
      </c>
      <c r="G128" s="527">
        <v>802424.60030000005</v>
      </c>
      <c r="H128" s="527">
        <v>1191230.1847999999</v>
      </c>
      <c r="I128" s="527">
        <v>0</v>
      </c>
      <c r="J128" s="528"/>
      <c r="K128" s="526"/>
      <c r="L128" s="595">
        <v>633183.01</v>
      </c>
      <c r="M128" s="595">
        <v>563378.5</v>
      </c>
      <c r="N128" s="595">
        <v>821682.79</v>
      </c>
      <c r="O128" s="595">
        <v>1219819.7</v>
      </c>
      <c r="P128" s="527"/>
      <c r="Q128" s="529"/>
      <c r="R128" s="530"/>
      <c r="S128" s="522"/>
      <c r="T128" s="522"/>
      <c r="U128" s="522"/>
      <c r="V128" s="522"/>
      <c r="W128" s="531"/>
      <c r="X128" s="384"/>
      <c r="Y128" s="108"/>
      <c r="Z128" s="108"/>
    </row>
    <row r="129" spans="1:26" ht="20.25" customHeight="1" x14ac:dyDescent="0.25">
      <c r="A129" s="502"/>
      <c r="B129" s="593" t="s">
        <v>27</v>
      </c>
      <c r="C129" s="501"/>
      <c r="D129" s="526"/>
      <c r="E129" s="532"/>
      <c r="F129" s="532"/>
      <c r="G129" s="532"/>
      <c r="H129" s="532"/>
      <c r="I129" s="532"/>
      <c r="J129" s="532"/>
      <c r="K129" s="526"/>
      <c r="L129" s="602">
        <f>L128/E128*100</f>
        <v>102.39999986803434</v>
      </c>
      <c r="M129" s="602">
        <f>M128/F128*100</f>
        <v>102.40000033618438</v>
      </c>
      <c r="N129" s="602">
        <f>N128/G128*100</f>
        <v>102.3999999118671</v>
      </c>
      <c r="O129" s="602">
        <f>O128/H128*100</f>
        <v>102.39999922473422</v>
      </c>
      <c r="P129" s="527"/>
      <c r="Q129" s="533"/>
      <c r="R129" s="534"/>
      <c r="S129" s="535"/>
      <c r="T129" s="535"/>
      <c r="U129" s="535"/>
      <c r="V129" s="535"/>
      <c r="W129" s="531"/>
      <c r="X129" s="384"/>
      <c r="Y129" s="108"/>
      <c r="Z129" s="108"/>
    </row>
    <row r="130" spans="1:26" ht="78.75" customHeight="1" x14ac:dyDescent="0.25">
      <c r="A130" s="502" t="s">
        <v>21</v>
      </c>
      <c r="B130" s="600" t="s">
        <v>22</v>
      </c>
      <c r="C130" s="501" t="s">
        <v>23</v>
      </c>
      <c r="D130" s="526"/>
      <c r="E130" s="527">
        <v>128.59549999999999</v>
      </c>
      <c r="F130" s="527">
        <v>239.8664</v>
      </c>
      <c r="G130" s="527">
        <v>449.78040000000004</v>
      </c>
      <c r="H130" s="527">
        <v>895.31720000000007</v>
      </c>
      <c r="I130" s="527">
        <v>2624.57</v>
      </c>
      <c r="J130" s="527">
        <v>1421.18</v>
      </c>
      <c r="K130" s="526"/>
      <c r="L130" s="595">
        <v>142.74</v>
      </c>
      <c r="M130" s="595">
        <v>266.25</v>
      </c>
      <c r="N130" s="595">
        <v>499.25</v>
      </c>
      <c r="O130" s="595">
        <v>993.8</v>
      </c>
      <c r="P130" s="594">
        <v>2711.1</v>
      </c>
      <c r="Q130" s="594">
        <v>1502.77</v>
      </c>
      <c r="R130" s="530">
        <f>R136/R127</f>
        <v>635.62037962729369</v>
      </c>
      <c r="S130" s="522">
        <f>S136/S127</f>
        <v>134.88347716613831</v>
      </c>
      <c r="T130" s="522">
        <f>T136/T127</f>
        <v>252.89552664530669</v>
      </c>
      <c r="U130" s="522">
        <f>U136/U127</f>
        <v>476.13693429007537</v>
      </c>
      <c r="V130" s="522">
        <f>V136/V127</f>
        <v>948.56466788591342</v>
      </c>
      <c r="W130" s="531"/>
      <c r="X130" s="384"/>
      <c r="Y130" s="108"/>
      <c r="Z130" s="108"/>
    </row>
    <row r="131" spans="1:26" ht="30.75" customHeight="1" x14ac:dyDescent="0.25">
      <c r="A131" s="502"/>
      <c r="B131" s="503" t="s">
        <v>27</v>
      </c>
      <c r="C131" s="501" t="s">
        <v>23</v>
      </c>
      <c r="D131" s="526"/>
      <c r="E131" s="532"/>
      <c r="F131" s="532"/>
      <c r="G131" s="532"/>
      <c r="H131" s="532"/>
      <c r="I131" s="532"/>
      <c r="J131" s="532"/>
      <c r="K131" s="526"/>
      <c r="L131" s="602">
        <f t="shared" ref="L131:Q131" si="43">L130/E130*100</f>
        <v>110.99921847965133</v>
      </c>
      <c r="M131" s="602">
        <f t="shared" si="43"/>
        <v>110.99928960454652</v>
      </c>
      <c r="N131" s="602">
        <f t="shared" si="43"/>
        <v>110.99861176698673</v>
      </c>
      <c r="O131" s="602">
        <f t="shared" si="43"/>
        <v>110.99976633979554</v>
      </c>
      <c r="P131" s="604">
        <f t="shared" si="43"/>
        <v>103.29692101944316</v>
      </c>
      <c r="Q131" s="603">
        <f t="shared" si="43"/>
        <v>105.74100395446038</v>
      </c>
      <c r="R131" s="534"/>
      <c r="S131" s="535"/>
      <c r="T131" s="535"/>
      <c r="U131" s="535"/>
      <c r="V131" s="535"/>
      <c r="W131" s="531"/>
      <c r="X131" s="384"/>
      <c r="Y131" s="108"/>
      <c r="Z131" s="108"/>
    </row>
    <row r="132" spans="1:26" ht="30.75" customHeight="1" x14ac:dyDescent="0.45">
      <c r="A132" s="502" t="s">
        <v>25</v>
      </c>
      <c r="B132" s="601" t="s">
        <v>26</v>
      </c>
      <c r="C132" s="504"/>
      <c r="D132" s="605">
        <f>D137/D127</f>
        <v>1930.4503754159521</v>
      </c>
      <c r="E132" s="527">
        <v>997.27690000000007</v>
      </c>
      <c r="F132" s="527">
        <v>1296.5228</v>
      </c>
      <c r="G132" s="527">
        <v>2086.8829999999998</v>
      </c>
      <c r="H132" s="527">
        <v>2933.4090999999999</v>
      </c>
      <c r="I132" s="527">
        <v>2624.57</v>
      </c>
      <c r="J132" s="527">
        <v>1421.18</v>
      </c>
      <c r="K132" s="605">
        <f>K137/K127</f>
        <v>2109.6575897816456</v>
      </c>
      <c r="L132" s="595">
        <v>1026.2</v>
      </c>
      <c r="M132" s="595">
        <v>1334.12</v>
      </c>
      <c r="N132" s="595">
        <v>2147.4</v>
      </c>
      <c r="O132" s="595">
        <v>3018.48</v>
      </c>
      <c r="P132" s="594">
        <f>P130</f>
        <v>2711.1</v>
      </c>
      <c r="Q132" s="594">
        <f>Q130</f>
        <v>1502.77</v>
      </c>
      <c r="R132" s="698">
        <f>R137/R127</f>
        <v>2021.1452733688288</v>
      </c>
      <c r="S132" s="539"/>
      <c r="T132" s="539"/>
      <c r="U132" s="539"/>
      <c r="V132" s="539"/>
      <c r="W132" s="702">
        <f>W134/W127</f>
        <v>2199.2188503606517</v>
      </c>
      <c r="X132" s="703">
        <f>(R134-W134)/(R127-W127)</f>
        <v>1931.1149289705215</v>
      </c>
      <c r="Y132" s="108" t="s">
        <v>44</v>
      </c>
      <c r="Z132" s="108"/>
    </row>
    <row r="133" spans="1:26" ht="30.75" customHeight="1" x14ac:dyDescent="0.25">
      <c r="A133" s="505"/>
      <c r="B133" s="503" t="s">
        <v>27</v>
      </c>
      <c r="C133" s="506"/>
      <c r="D133" s="541"/>
      <c r="E133" s="542"/>
      <c r="F133" s="542"/>
      <c r="G133" s="542"/>
      <c r="H133" s="542"/>
      <c r="I133" s="542"/>
      <c r="J133" s="543"/>
      <c r="K133" s="700">
        <f>K132/D132*100</f>
        <v>109.28318161647019</v>
      </c>
      <c r="L133" s="547">
        <f t="shared" ref="L133:Q133" si="44">L132/E132*100</f>
        <v>102.90020755519353</v>
      </c>
      <c r="M133" s="547">
        <f t="shared" si="44"/>
        <v>102.89984873385951</v>
      </c>
      <c r="N133" s="547">
        <f t="shared" si="44"/>
        <v>102.89987507684909</v>
      </c>
      <c r="O133" s="547">
        <f t="shared" si="44"/>
        <v>102.90006941070715</v>
      </c>
      <c r="P133" s="544">
        <f t="shared" si="44"/>
        <v>103.29692101944316</v>
      </c>
      <c r="Q133" s="545">
        <f t="shared" si="44"/>
        <v>105.74100395446038</v>
      </c>
      <c r="R133" s="546">
        <f>R132/R115*100</f>
        <v>104.16255748924961</v>
      </c>
      <c r="S133" s="547"/>
      <c r="T133" s="547"/>
      <c r="U133" s="547"/>
      <c r="V133" s="547"/>
      <c r="W133" s="701">
        <f>W132/W115*100</f>
        <v>103.43980539975351</v>
      </c>
      <c r="X133" s="384"/>
      <c r="Y133" s="108"/>
      <c r="Z133" s="108"/>
    </row>
    <row r="134" spans="1:26" ht="30.75" customHeight="1" x14ac:dyDescent="0.25">
      <c r="A134" s="507">
        <v>6</v>
      </c>
      <c r="B134" s="514" t="s">
        <v>28</v>
      </c>
      <c r="C134" s="501" t="s">
        <v>29</v>
      </c>
      <c r="D134" s="567">
        <f>SUM(E134:J134)</f>
        <v>2749072.2103093215</v>
      </c>
      <c r="E134" s="548">
        <f>E126*E128*6/1000+E127*E130</f>
        <v>398910.76</v>
      </c>
      <c r="F134" s="548">
        <f>F126*F128*6/1000+F127*F130</f>
        <v>29031.848602345803</v>
      </c>
      <c r="G134" s="548">
        <f>G126*G128*6/1000+G127*G130</f>
        <v>584521.2163236778</v>
      </c>
      <c r="H134" s="548">
        <f>H126*H128*6/1000+H127*H130</f>
        <v>742621.84775599989</v>
      </c>
      <c r="I134" s="548">
        <f>I127*I130</f>
        <v>715990.13531387877</v>
      </c>
      <c r="J134" s="549">
        <f>J127*J130</f>
        <v>277996.40231341904</v>
      </c>
      <c r="K134" s="567">
        <f>SUM(L134:Q134)</f>
        <v>3078354.476225887</v>
      </c>
      <c r="L134" s="596">
        <f>L126*L128*6/1000+L127*L130</f>
        <v>328528.14428692719</v>
      </c>
      <c r="M134" s="596">
        <f>M126*M128*6/1000+M127*M130</f>
        <v>29145.933276749231</v>
      </c>
      <c r="N134" s="596">
        <f>N126*N128*6/1000+N127*N130</f>
        <v>685876.42529221065</v>
      </c>
      <c r="O134" s="596">
        <f>O126*O128*6/1000+O127*O130</f>
        <v>899507.04</v>
      </c>
      <c r="P134" s="548">
        <f>P127*P130</f>
        <v>862091.84459999995</v>
      </c>
      <c r="Q134" s="550">
        <f>Q127*Q130</f>
        <v>273205.08876999997</v>
      </c>
      <c r="R134" s="606">
        <f t="shared" ref="R134:V137" si="45">D134+K134</f>
        <v>5827426.6865352085</v>
      </c>
      <c r="S134" s="552">
        <f t="shared" si="45"/>
        <v>727438.90428692719</v>
      </c>
      <c r="T134" s="552">
        <f t="shared" si="45"/>
        <v>58177.781879095033</v>
      </c>
      <c r="U134" s="552">
        <f t="shared" si="45"/>
        <v>1270397.6416158886</v>
      </c>
      <c r="V134" s="552">
        <f t="shared" si="45"/>
        <v>1642128.8877559998</v>
      </c>
      <c r="W134" s="553">
        <f>I134+P134+J134+Q134</f>
        <v>2129283.4709972977</v>
      </c>
      <c r="X134" s="384"/>
      <c r="Y134" s="108"/>
      <c r="Z134" s="108"/>
    </row>
    <row r="135" spans="1:26" ht="30.75" customHeight="1" x14ac:dyDescent="0.25">
      <c r="A135" s="508"/>
      <c r="B135" s="512" t="s">
        <v>46</v>
      </c>
      <c r="C135" s="509"/>
      <c r="D135" s="554">
        <f>SUM(E135:J135)</f>
        <v>1920246.401545974</v>
      </c>
      <c r="E135" s="555">
        <f>E134-E136</f>
        <v>347472.56</v>
      </c>
      <c r="F135" s="555">
        <f t="shared" ref="F135:J135" si="46">F134-F136</f>
        <v>23660.739810745901</v>
      </c>
      <c r="G135" s="555">
        <f t="shared" si="46"/>
        <v>458540.89711721038</v>
      </c>
      <c r="H135" s="555">
        <f t="shared" si="46"/>
        <v>515963.34540399991</v>
      </c>
      <c r="I135" s="555">
        <f t="shared" si="46"/>
        <v>471745.06538743631</v>
      </c>
      <c r="J135" s="556">
        <f t="shared" si="46"/>
        <v>102863.79382658142</v>
      </c>
      <c r="K135" s="566">
        <f>SUM(L135:Q135)</f>
        <v>2074540.5378364322</v>
      </c>
      <c r="L135" s="597">
        <f>L134-L136</f>
        <v>282831.29443746706</v>
      </c>
      <c r="M135" s="597">
        <f t="shared" ref="M135:Q135" si="47">M134-M136</f>
        <v>23329.286547118849</v>
      </c>
      <c r="N135" s="597">
        <f t="shared" si="47"/>
        <v>526416.7040818464</v>
      </c>
      <c r="O135" s="597">
        <f t="shared" si="47"/>
        <v>603354.64000000013</v>
      </c>
      <c r="P135" s="555">
        <f t="shared" si="47"/>
        <v>546077.3578</v>
      </c>
      <c r="Q135" s="557">
        <f t="shared" si="47"/>
        <v>92531.25496999998</v>
      </c>
      <c r="R135" s="607">
        <f t="shared" si="45"/>
        <v>3994786.939382406</v>
      </c>
      <c r="S135" s="552">
        <f t="shared" si="45"/>
        <v>630303.85443746706</v>
      </c>
      <c r="T135" s="552">
        <f t="shared" si="45"/>
        <v>46990.02635786475</v>
      </c>
      <c r="U135" s="552">
        <f t="shared" si="45"/>
        <v>984957.60119905672</v>
      </c>
      <c r="V135" s="552">
        <f t="shared" si="45"/>
        <v>1119317.9854040002</v>
      </c>
      <c r="W135" s="553"/>
    </row>
    <row r="136" spans="1:26" ht="30.75" customHeight="1" x14ac:dyDescent="0.25">
      <c r="A136" s="508"/>
      <c r="B136" s="512" t="s">
        <v>47</v>
      </c>
      <c r="C136" s="509"/>
      <c r="D136" s="554">
        <f>SUM(E136:J136)</f>
        <v>828825.80876334745</v>
      </c>
      <c r="E136" s="555">
        <f>E127*E130</f>
        <v>51438.2</v>
      </c>
      <c r="F136" s="555">
        <f>F127*F130</f>
        <v>5371.1087915999005</v>
      </c>
      <c r="G136" s="555">
        <f>G127*G130</f>
        <v>125980.31920646744</v>
      </c>
      <c r="H136" s="555">
        <f>H127*H130</f>
        <v>226658.50235200001</v>
      </c>
      <c r="I136" s="555">
        <f>I127*H130</f>
        <v>244245.06992644246</v>
      </c>
      <c r="J136" s="556">
        <f>J127*H130</f>
        <v>175132.60848683762</v>
      </c>
      <c r="K136" s="558">
        <f>SUM(L136:Q136)</f>
        <v>1003813.9383894546</v>
      </c>
      <c r="L136" s="555">
        <f>L127*L130</f>
        <v>45696.849849460123</v>
      </c>
      <c r="M136" s="555">
        <f>M127*M130</f>
        <v>5816.6467296303817</v>
      </c>
      <c r="N136" s="555">
        <f>N127*N130</f>
        <v>159459.72121036419</v>
      </c>
      <c r="O136" s="555">
        <f>O127*O130</f>
        <v>296152.39999999997</v>
      </c>
      <c r="P136" s="555">
        <f>P127*O130</f>
        <v>316014.48679999996</v>
      </c>
      <c r="Q136" s="557">
        <f>Q127*O130</f>
        <v>180673.83379999999</v>
      </c>
      <c r="R136" s="608">
        <f t="shared" si="45"/>
        <v>1832639.7471528021</v>
      </c>
      <c r="S136" s="552">
        <f t="shared" si="45"/>
        <v>97135.04984946012</v>
      </c>
      <c r="T136" s="552">
        <f t="shared" si="45"/>
        <v>11187.755521230283</v>
      </c>
      <c r="U136" s="552">
        <f t="shared" si="45"/>
        <v>285440.04041683162</v>
      </c>
      <c r="V136" s="552">
        <f t="shared" si="45"/>
        <v>522810.902352</v>
      </c>
      <c r="W136" s="553"/>
    </row>
    <row r="137" spans="1:26" ht="30.75" customHeight="1" thickBot="1" x14ac:dyDescent="0.3">
      <c r="A137" s="510">
        <v>7</v>
      </c>
      <c r="B137" s="513" t="s">
        <v>30</v>
      </c>
      <c r="C137" s="511" t="s">
        <v>29</v>
      </c>
      <c r="D137" s="569">
        <f>SUM(E137:J137)</f>
        <v>2749072.2103093215</v>
      </c>
      <c r="E137" s="559">
        <f t="shared" ref="E137:J137" si="48">E127*E132</f>
        <v>398910.76</v>
      </c>
      <c r="F137" s="559">
        <f t="shared" si="48"/>
        <v>29031.848602345803</v>
      </c>
      <c r="G137" s="559">
        <f t="shared" si="48"/>
        <v>584521.2163236778</v>
      </c>
      <c r="H137" s="559">
        <f t="shared" si="48"/>
        <v>742621.847756</v>
      </c>
      <c r="I137" s="559">
        <f t="shared" si="48"/>
        <v>715990.13531387877</v>
      </c>
      <c r="J137" s="560">
        <f t="shared" si="48"/>
        <v>277996.40231341904</v>
      </c>
      <c r="K137" s="568">
        <f>SUM(L137:Q137)</f>
        <v>3078354.476225887</v>
      </c>
      <c r="L137" s="598">
        <f t="shared" ref="L137:Q137" si="49">L127*L132</f>
        <v>328528.14428692713</v>
      </c>
      <c r="M137" s="598">
        <f t="shared" si="49"/>
        <v>29145.933276749234</v>
      </c>
      <c r="N137" s="598">
        <f t="shared" si="49"/>
        <v>685876.42529221054</v>
      </c>
      <c r="O137" s="598">
        <f t="shared" si="49"/>
        <v>899507.04</v>
      </c>
      <c r="P137" s="559">
        <f t="shared" si="49"/>
        <v>862091.84459999995</v>
      </c>
      <c r="Q137" s="561">
        <f t="shared" si="49"/>
        <v>273205.08876999997</v>
      </c>
      <c r="R137" s="609">
        <f t="shared" si="45"/>
        <v>5827426.6865352085</v>
      </c>
      <c r="S137" s="562">
        <f t="shared" si="45"/>
        <v>727438.90428692708</v>
      </c>
      <c r="T137" s="562">
        <f t="shared" si="45"/>
        <v>58177.78187909504</v>
      </c>
      <c r="U137" s="562">
        <f t="shared" si="45"/>
        <v>1270397.6416158883</v>
      </c>
      <c r="V137" s="562">
        <f t="shared" si="45"/>
        <v>1642128.887756</v>
      </c>
      <c r="W137" s="563">
        <f>I137+P137+J137+Q137</f>
        <v>2129283.4709972977</v>
      </c>
    </row>
    <row r="138" spans="1:26" ht="15.75" customHeight="1" x14ac:dyDescent="0.25">
      <c r="A138" s="461"/>
      <c r="B138" s="462" t="s">
        <v>32</v>
      </c>
      <c r="C138" s="461"/>
      <c r="D138" s="463">
        <f>D134-D137</f>
        <v>0</v>
      </c>
      <c r="E138" s="463">
        <f>E134-E137</f>
        <v>0</v>
      </c>
      <c r="F138" s="463">
        <f t="shared" ref="F138:W138" si="50">F134-F137</f>
        <v>0</v>
      </c>
      <c r="G138" s="463">
        <f t="shared" si="50"/>
        <v>0</v>
      </c>
      <c r="H138" s="463">
        <f t="shared" si="50"/>
        <v>0</v>
      </c>
      <c r="I138" s="463">
        <f t="shared" si="50"/>
        <v>0</v>
      </c>
      <c r="J138" s="463">
        <f t="shared" si="50"/>
        <v>0</v>
      </c>
      <c r="K138" s="463">
        <f t="shared" si="50"/>
        <v>0</v>
      </c>
      <c r="L138" s="463">
        <f t="shared" si="50"/>
        <v>0</v>
      </c>
      <c r="M138" s="463">
        <f t="shared" si="50"/>
        <v>0</v>
      </c>
      <c r="N138" s="463">
        <f t="shared" si="50"/>
        <v>0</v>
      </c>
      <c r="O138" s="463">
        <f t="shared" si="50"/>
        <v>0</v>
      </c>
      <c r="P138" s="463">
        <f t="shared" si="50"/>
        <v>0</v>
      </c>
      <c r="Q138" s="463">
        <f t="shared" si="50"/>
        <v>0</v>
      </c>
      <c r="R138" s="463">
        <f t="shared" si="50"/>
        <v>0</v>
      </c>
      <c r="S138" s="463">
        <f t="shared" si="50"/>
        <v>0</v>
      </c>
      <c r="T138" s="463">
        <f t="shared" si="50"/>
        <v>0</v>
      </c>
      <c r="U138" s="463">
        <f t="shared" si="50"/>
        <v>0</v>
      </c>
      <c r="V138" s="463">
        <f t="shared" si="50"/>
        <v>0</v>
      </c>
      <c r="W138" s="463">
        <f t="shared" si="50"/>
        <v>0</v>
      </c>
      <c r="X138" s="384"/>
    </row>
    <row r="139" spans="1:26" x14ac:dyDescent="0.25">
      <c r="X139" s="384"/>
    </row>
    <row r="140" spans="1:26" ht="23.25" x14ac:dyDescent="0.35">
      <c r="W140" s="615" t="s">
        <v>84</v>
      </c>
      <c r="X140" s="384"/>
      <c r="Y140" s="108" t="s">
        <v>44</v>
      </c>
      <c r="Z140" s="108">
        <f>(R156-W156)/(R146-W146)</f>
        <v>1927.0066628829888</v>
      </c>
    </row>
    <row r="141" spans="1:26" ht="21" hidden="1" x14ac:dyDescent="0.35">
      <c r="X141" s="405">
        <v>430.77</v>
      </c>
      <c r="Y141" s="108" t="s">
        <v>45</v>
      </c>
      <c r="Z141" s="108">
        <f>W156/W146</f>
        <v>2212.7339350482875</v>
      </c>
    </row>
    <row r="142" spans="1:26" ht="55.5" hidden="1" customHeight="1" x14ac:dyDescent="0.35">
      <c r="A142" s="386" t="s">
        <v>65</v>
      </c>
      <c r="B142" s="387"/>
      <c r="C142" s="467"/>
      <c r="D142" s="467"/>
      <c r="E142" s="467"/>
      <c r="F142" s="467"/>
      <c r="G142" s="468" t="s">
        <v>70</v>
      </c>
      <c r="H142" s="391">
        <v>1.0289999999999999</v>
      </c>
      <c r="I142" s="387"/>
      <c r="J142" s="387"/>
      <c r="K142" s="469" t="s">
        <v>71</v>
      </c>
      <c r="L142" s="391">
        <v>1.024</v>
      </c>
      <c r="M142" s="469" t="s">
        <v>72</v>
      </c>
      <c r="N142" s="391">
        <v>1.1100000000000001</v>
      </c>
      <c r="O142" s="469" t="s">
        <v>56</v>
      </c>
      <c r="P142" s="391">
        <v>1.0329999999999999</v>
      </c>
      <c r="Q142" s="387"/>
      <c r="R142" s="387"/>
      <c r="S142" s="387"/>
      <c r="T142" s="387"/>
      <c r="U142" s="387"/>
      <c r="V142" s="387"/>
      <c r="W142" s="387"/>
      <c r="X142" s="405">
        <f>R146-K146-D146</f>
        <v>0</v>
      </c>
      <c r="Y142" s="108"/>
      <c r="Z142" s="108"/>
    </row>
    <row r="143" spans="1:26" ht="37.5" hidden="1" customHeight="1" x14ac:dyDescent="0.35">
      <c r="A143" s="664" t="s">
        <v>1</v>
      </c>
      <c r="B143" s="666" t="s">
        <v>2</v>
      </c>
      <c r="C143" s="668"/>
      <c r="D143" s="677" t="s">
        <v>66</v>
      </c>
      <c r="E143" s="678"/>
      <c r="F143" s="678"/>
      <c r="G143" s="678"/>
      <c r="H143" s="678"/>
      <c r="I143" s="678"/>
      <c r="J143" s="679"/>
      <c r="K143" s="659" t="s">
        <v>67</v>
      </c>
      <c r="L143" s="660"/>
      <c r="M143" s="660"/>
      <c r="N143" s="660"/>
      <c r="O143" s="660"/>
      <c r="P143" s="660"/>
      <c r="Q143" s="680"/>
      <c r="R143" s="659">
        <v>2019</v>
      </c>
      <c r="S143" s="660"/>
      <c r="T143" s="660"/>
      <c r="U143" s="660"/>
      <c r="V143" s="660"/>
      <c r="W143" s="661"/>
      <c r="X143" s="405"/>
      <c r="Y143" s="108">
        <f>E146+L146</f>
        <v>723.23996412680515</v>
      </c>
      <c r="Z143" s="108">
        <f>F146+M146</f>
        <v>44.238645379130944</v>
      </c>
    </row>
    <row r="144" spans="1:26" ht="45.75" hidden="1" customHeight="1" x14ac:dyDescent="0.35">
      <c r="A144" s="665"/>
      <c r="B144" s="667"/>
      <c r="C144" s="669"/>
      <c r="D144" s="317" t="s">
        <v>5</v>
      </c>
      <c r="E144" s="318" t="s">
        <v>6</v>
      </c>
      <c r="F144" s="318" t="s">
        <v>7</v>
      </c>
      <c r="G144" s="318" t="s">
        <v>8</v>
      </c>
      <c r="H144" s="318" t="s">
        <v>9</v>
      </c>
      <c r="I144" s="319" t="s">
        <v>42</v>
      </c>
      <c r="J144" s="320" t="s">
        <v>43</v>
      </c>
      <c r="K144" s="317" t="s">
        <v>5</v>
      </c>
      <c r="L144" s="318" t="s">
        <v>6</v>
      </c>
      <c r="M144" s="318" t="s">
        <v>7</v>
      </c>
      <c r="N144" s="318" t="s">
        <v>8</v>
      </c>
      <c r="O144" s="318" t="s">
        <v>9</v>
      </c>
      <c r="P144" s="319" t="s">
        <v>42</v>
      </c>
      <c r="Q144" s="320" t="s">
        <v>43</v>
      </c>
      <c r="R144" s="321" t="s">
        <v>5</v>
      </c>
      <c r="S144" s="322" t="s">
        <v>6</v>
      </c>
      <c r="T144" s="322" t="s">
        <v>7</v>
      </c>
      <c r="U144" s="322" t="s">
        <v>8</v>
      </c>
      <c r="V144" s="322" t="s">
        <v>9</v>
      </c>
      <c r="W144" s="323" t="s">
        <v>43</v>
      </c>
      <c r="X144" s="405"/>
      <c r="Y144" s="108"/>
      <c r="Z144" s="108"/>
    </row>
    <row r="145" spans="1:26" ht="30.75" hidden="1" customHeight="1" x14ac:dyDescent="0.35">
      <c r="A145" s="397" t="s">
        <v>12</v>
      </c>
      <c r="B145" s="398" t="s">
        <v>13</v>
      </c>
      <c r="C145" s="399" t="s">
        <v>14</v>
      </c>
      <c r="D145" s="325">
        <f>E145+F145+G145+H145+I145</f>
        <v>430.20166128787514</v>
      </c>
      <c r="E145" s="326">
        <f>(E156-E146*E149)/(E147/1000*6)</f>
        <v>95.998364018535497</v>
      </c>
      <c r="F145" s="326">
        <f>(F156-F146*F149)/(F147/1000*6)</f>
        <v>7.1676494712250927</v>
      </c>
      <c r="G145" s="326">
        <f>(G156-G146*G149)/(G147/1000*6)</f>
        <v>98.709034148822965</v>
      </c>
      <c r="H145" s="326">
        <f>(H156-H146*H149)/(H147/1000*6)</f>
        <v>72.189146982624933</v>
      </c>
      <c r="I145" s="681">
        <f>(I146+J146)/6*2</f>
        <v>156.13746666666665</v>
      </c>
      <c r="J145" s="682"/>
      <c r="K145" s="325">
        <f>L145+M145+N145+O145+P145</f>
        <v>431.33732234921297</v>
      </c>
      <c r="L145" s="326">
        <f>(L156-L146*L149)/(L147/1000*6)</f>
        <v>72.842030081547009</v>
      </c>
      <c r="M145" s="326">
        <f>(M156-M146*M149)/(M147/1000*6)</f>
        <v>6.9016041147722937</v>
      </c>
      <c r="N145" s="326">
        <f>(N156-N146*N149)/(N147/1000*6)</f>
        <v>103.66688683142878</v>
      </c>
      <c r="O145" s="326">
        <f>(O156-O146*O149)/(O147/1000*6)</f>
        <v>81.330967988131533</v>
      </c>
      <c r="P145" s="681">
        <f>(P146+Q146)/6*2</f>
        <v>166.59583333333333</v>
      </c>
      <c r="Q145" s="683"/>
      <c r="R145" s="327">
        <f t="shared" ref="R145:V145" si="51">(D145+K145)/2</f>
        <v>430.76949181854405</v>
      </c>
      <c r="S145" s="328">
        <f t="shared" si="51"/>
        <v>84.420197050041253</v>
      </c>
      <c r="T145" s="329">
        <f t="shared" si="51"/>
        <v>7.0346267929986936</v>
      </c>
      <c r="U145" s="330">
        <f t="shared" si="51"/>
        <v>101.18796049012587</v>
      </c>
      <c r="V145" s="330">
        <f t="shared" si="51"/>
        <v>76.76005748537824</v>
      </c>
      <c r="W145" s="331">
        <f>W146/6000*1000</f>
        <v>161.36664999999999</v>
      </c>
      <c r="X145" s="405">
        <f>P146+Q146</f>
        <v>499.78750000000002</v>
      </c>
      <c r="Y145" s="108"/>
      <c r="Z145" s="108"/>
    </row>
    <row r="146" spans="1:26" ht="30.75" hidden="1" customHeight="1" x14ac:dyDescent="0.25">
      <c r="A146" s="406" t="s">
        <v>15</v>
      </c>
      <c r="B146" s="407" t="s">
        <v>16</v>
      </c>
      <c r="C146" s="408" t="s">
        <v>17</v>
      </c>
      <c r="D146" s="325">
        <f>E146+F146+G146+H146+I146+J146</f>
        <v>1444.257435155245</v>
      </c>
      <c r="E146" s="333">
        <f>350+20+30+10</f>
        <v>410</v>
      </c>
      <c r="F146" s="333">
        <v>22.392084892256275</v>
      </c>
      <c r="G146" s="333">
        <f>280.092950262989+10+0.2</f>
        <v>290.292950262989</v>
      </c>
      <c r="H146" s="333">
        <v>253.16</v>
      </c>
      <c r="I146" s="333">
        <v>287.20194744424606</v>
      </c>
      <c r="J146" s="333">
        <v>181.2104525557539</v>
      </c>
      <c r="K146" s="325">
        <f>L146+M146+N146+O146+P146+Q146</f>
        <v>1438.9725648447547</v>
      </c>
      <c r="L146" s="333">
        <f>R146-D146-M146-N146-O146-P146-Q146</f>
        <v>313.23996412680515</v>
      </c>
      <c r="M146" s="333">
        <v>21.846560486874672</v>
      </c>
      <c r="N146" s="333">
        <f>329.898540231075-9.8-0.7-10+0.7</f>
        <v>310.09854023107499</v>
      </c>
      <c r="O146" s="333">
        <f>298-5+1+1-1</f>
        <v>294</v>
      </c>
      <c r="P146" s="333">
        <v>319.62544248137698</v>
      </c>
      <c r="Q146" s="333">
        <v>180.16205751862304</v>
      </c>
      <c r="R146" s="334">
        <v>2883.23</v>
      </c>
      <c r="S146" s="335">
        <f>E146+L146</f>
        <v>723.23996412680515</v>
      </c>
      <c r="T146" s="333">
        <f>F146+M146</f>
        <v>44.238645379130944</v>
      </c>
      <c r="U146" s="333">
        <f>G146+N146</f>
        <v>600.39149049406399</v>
      </c>
      <c r="V146" s="333">
        <f>H146+O146</f>
        <v>547.16</v>
      </c>
      <c r="W146" s="336">
        <v>968.19989999999996</v>
      </c>
      <c r="X146" s="384">
        <v>499.78750000000002</v>
      </c>
      <c r="Y146" s="108"/>
      <c r="Z146" s="108"/>
    </row>
    <row r="147" spans="1:26" ht="30.75" hidden="1" customHeight="1" x14ac:dyDescent="0.25">
      <c r="A147" s="423" t="s">
        <v>18</v>
      </c>
      <c r="B147" s="424" t="s">
        <v>19</v>
      </c>
      <c r="C147" s="408" t="s">
        <v>20</v>
      </c>
      <c r="D147" s="338"/>
      <c r="E147" s="339">
        <f>E128</f>
        <v>618342.7840000001</v>
      </c>
      <c r="F147" s="339">
        <f>F128</f>
        <v>550174.31459999993</v>
      </c>
      <c r="G147" s="339">
        <f>G128</f>
        <v>802424.60030000005</v>
      </c>
      <c r="H147" s="339">
        <f>H128</f>
        <v>1191230.1847999999</v>
      </c>
      <c r="I147" s="339"/>
      <c r="J147" s="340"/>
      <c r="K147" s="338"/>
      <c r="L147" s="339">
        <f>E147*$L142</f>
        <v>633183.01081600017</v>
      </c>
      <c r="M147" s="339">
        <f>F147*$L142</f>
        <v>563378.49815039989</v>
      </c>
      <c r="N147" s="339">
        <f>G147*$L142</f>
        <v>821682.79070720007</v>
      </c>
      <c r="O147" s="339">
        <f>H147*$L142</f>
        <v>1219819.7092352</v>
      </c>
      <c r="P147" s="339"/>
      <c r="Q147" s="341"/>
      <c r="R147" s="342"/>
      <c r="S147" s="333"/>
      <c r="T147" s="333"/>
      <c r="U147" s="333"/>
      <c r="V147" s="333"/>
      <c r="W147" s="343"/>
      <c r="X147" s="384"/>
      <c r="Y147" s="108"/>
      <c r="Z147" s="108"/>
    </row>
    <row r="148" spans="1:26" ht="20.25" hidden="1" customHeight="1" x14ac:dyDescent="0.25">
      <c r="A148" s="423"/>
      <c r="B148" s="434" t="s">
        <v>27</v>
      </c>
      <c r="C148" s="408"/>
      <c r="D148" s="338"/>
      <c r="E148" s="344"/>
      <c r="F148" s="344"/>
      <c r="G148" s="344"/>
      <c r="H148" s="344"/>
      <c r="I148" s="344"/>
      <c r="J148" s="344"/>
      <c r="K148" s="338"/>
      <c r="L148" s="344">
        <f>L147/E147*100</f>
        <v>102.4</v>
      </c>
      <c r="M148" s="344">
        <f>M147/F147*100</f>
        <v>102.4</v>
      </c>
      <c r="N148" s="344">
        <f>N147/G147*100</f>
        <v>102.4</v>
      </c>
      <c r="O148" s="344">
        <f>O147/H147*100</f>
        <v>102.4</v>
      </c>
      <c r="P148" s="339"/>
      <c r="Q148" s="345"/>
      <c r="R148" s="346"/>
      <c r="S148" s="347"/>
      <c r="T148" s="347"/>
      <c r="U148" s="347"/>
      <c r="V148" s="347"/>
      <c r="W148" s="343"/>
      <c r="X148" s="384"/>
      <c r="Y148" s="108"/>
      <c r="Z148" s="108"/>
    </row>
    <row r="149" spans="1:26" ht="42.75" hidden="1" customHeight="1" x14ac:dyDescent="0.25">
      <c r="A149" s="423" t="s">
        <v>21</v>
      </c>
      <c r="B149" s="337" t="s">
        <v>22</v>
      </c>
      <c r="C149" s="408" t="s">
        <v>23</v>
      </c>
      <c r="D149" s="338"/>
      <c r="E149" s="339">
        <f t="shared" ref="E149:J149" si="52">E130</f>
        <v>128.59549999999999</v>
      </c>
      <c r="F149" s="339">
        <f t="shared" si="52"/>
        <v>239.8664</v>
      </c>
      <c r="G149" s="339">
        <f t="shared" si="52"/>
        <v>449.78040000000004</v>
      </c>
      <c r="H149" s="339">
        <f t="shared" si="52"/>
        <v>895.31720000000007</v>
      </c>
      <c r="I149" s="339">
        <f t="shared" si="52"/>
        <v>2624.57</v>
      </c>
      <c r="J149" s="339">
        <f t="shared" si="52"/>
        <v>1421.18</v>
      </c>
      <c r="K149" s="338"/>
      <c r="L149" s="339">
        <f>E149*$N$123</f>
        <v>142.741005</v>
      </c>
      <c r="M149" s="339">
        <f t="shared" ref="M149:O149" si="53">F149*$N$123</f>
        <v>266.25170400000002</v>
      </c>
      <c r="N149" s="339">
        <f t="shared" si="53"/>
        <v>499.25624400000009</v>
      </c>
      <c r="O149" s="339">
        <f t="shared" si="53"/>
        <v>993.80209200000013</v>
      </c>
      <c r="P149" s="339">
        <f>I149*$P142</f>
        <v>2711.1808099999998</v>
      </c>
      <c r="Q149" s="339">
        <f>J149*$P142</f>
        <v>1468.0789399999999</v>
      </c>
      <c r="R149" s="342">
        <f>R155/R146</f>
        <v>634.32841141852725</v>
      </c>
      <c r="S149" s="333">
        <f>S155/S146</f>
        <v>134.72201083808011</v>
      </c>
      <c r="T149" s="333">
        <f>T155/T146</f>
        <v>252.89636813895439</v>
      </c>
      <c r="U149" s="333">
        <f>U155/U146</f>
        <v>475.33437144032661</v>
      </c>
      <c r="V149" s="333">
        <f>V155/V146</f>
        <v>948.23510015352019</v>
      </c>
      <c r="W149" s="343"/>
      <c r="X149" s="384"/>
      <c r="Y149" s="108"/>
      <c r="Z149" s="108"/>
    </row>
    <row r="150" spans="1:26" ht="30.75" hidden="1" customHeight="1" x14ac:dyDescent="0.25">
      <c r="A150" s="423"/>
      <c r="B150" s="434" t="s">
        <v>27</v>
      </c>
      <c r="C150" s="408" t="s">
        <v>23</v>
      </c>
      <c r="D150" s="338"/>
      <c r="E150" s="344"/>
      <c r="F150" s="344"/>
      <c r="G150" s="344"/>
      <c r="H150" s="344"/>
      <c r="I150" s="344"/>
      <c r="J150" s="344"/>
      <c r="K150" s="338"/>
      <c r="L150" s="344">
        <f t="shared" ref="L150:Q150" si="54">L149/E149*100</f>
        <v>111.00000000000001</v>
      </c>
      <c r="M150" s="344">
        <f t="shared" si="54"/>
        <v>111.00000000000001</v>
      </c>
      <c r="N150" s="344">
        <f t="shared" si="54"/>
        <v>111.00000000000001</v>
      </c>
      <c r="O150" s="344">
        <f t="shared" si="54"/>
        <v>111.00000000000001</v>
      </c>
      <c r="P150" s="344">
        <f t="shared" si="54"/>
        <v>103.3</v>
      </c>
      <c r="Q150" s="348">
        <f t="shared" si="54"/>
        <v>103.3</v>
      </c>
      <c r="R150" s="346"/>
      <c r="S150" s="347"/>
      <c r="T150" s="347"/>
      <c r="U150" s="347"/>
      <c r="V150" s="347"/>
      <c r="W150" s="343"/>
      <c r="X150" s="384"/>
      <c r="Y150" s="108"/>
      <c r="Z150" s="108"/>
    </row>
    <row r="151" spans="1:26" ht="30.75" hidden="1" customHeight="1" x14ac:dyDescent="0.25">
      <c r="A151" s="423" t="s">
        <v>25</v>
      </c>
      <c r="B151" s="424" t="s">
        <v>26</v>
      </c>
      <c r="C151" s="431"/>
      <c r="D151" s="349">
        <f>D156/D146</f>
        <v>1937.0915920874108</v>
      </c>
      <c r="E151" s="339">
        <f t="shared" ref="E151:J151" si="55">E132</f>
        <v>997.27690000000007</v>
      </c>
      <c r="F151" s="339">
        <f t="shared" si="55"/>
        <v>1296.5228</v>
      </c>
      <c r="G151" s="339">
        <f t="shared" si="55"/>
        <v>2086.8829999999998</v>
      </c>
      <c r="H151" s="339">
        <f t="shared" si="55"/>
        <v>2933.4090999999999</v>
      </c>
      <c r="I151" s="339">
        <f t="shared" si="55"/>
        <v>2624.57</v>
      </c>
      <c r="J151" s="339">
        <f t="shared" si="55"/>
        <v>1421.18</v>
      </c>
      <c r="K151" s="349">
        <f>K156/K146</f>
        <v>2109.1337504689077</v>
      </c>
      <c r="L151" s="339">
        <f>E151*$H$123</f>
        <v>1026.1979300999999</v>
      </c>
      <c r="M151" s="339">
        <f t="shared" ref="M151:O151" si="56">F151*$H$123</f>
        <v>1334.1219611999998</v>
      </c>
      <c r="N151" s="339">
        <f t="shared" si="56"/>
        <v>2147.4026069999995</v>
      </c>
      <c r="O151" s="339">
        <f t="shared" si="56"/>
        <v>3018.4779638999994</v>
      </c>
      <c r="P151" s="339">
        <f>P149</f>
        <v>2711.1808099999998</v>
      </c>
      <c r="Q151" s="339">
        <f>Q149</f>
        <v>1468.0789399999999</v>
      </c>
      <c r="R151" s="350">
        <f>R156/R146</f>
        <v>2022.9549973334888</v>
      </c>
      <c r="S151" s="351"/>
      <c r="T151" s="351"/>
      <c r="U151" s="351"/>
      <c r="V151" s="351"/>
      <c r="W151" s="352"/>
      <c r="X151" s="384"/>
      <c r="Y151" s="108"/>
      <c r="Z151" s="108"/>
    </row>
    <row r="152" spans="1:26" ht="30.75" hidden="1" customHeight="1" x14ac:dyDescent="0.25">
      <c r="A152" s="417"/>
      <c r="B152" s="434" t="s">
        <v>27</v>
      </c>
      <c r="C152" s="435"/>
      <c r="D152" s="354"/>
      <c r="E152" s="355"/>
      <c r="F152" s="355"/>
      <c r="G152" s="355"/>
      <c r="H152" s="355"/>
      <c r="I152" s="355"/>
      <c r="J152" s="356"/>
      <c r="K152" s="357">
        <f>K151/D151*100</f>
        <v>108.88146740630391</v>
      </c>
      <c r="L152" s="357">
        <f t="shared" ref="L152:Q152" si="57">L151/E151*100</f>
        <v>102.89999999999999</v>
      </c>
      <c r="M152" s="357">
        <f t="shared" si="57"/>
        <v>102.89999999999999</v>
      </c>
      <c r="N152" s="357">
        <f t="shared" si="57"/>
        <v>102.89999999999999</v>
      </c>
      <c r="O152" s="357">
        <f t="shared" si="57"/>
        <v>102.89999999999999</v>
      </c>
      <c r="P152" s="357">
        <f t="shared" si="57"/>
        <v>103.3</v>
      </c>
      <c r="Q152" s="358">
        <f t="shared" si="57"/>
        <v>103.3</v>
      </c>
      <c r="R152" s="359" t="e">
        <f>R151/#REF!*100</f>
        <v>#REF!</v>
      </c>
      <c r="S152" s="360"/>
      <c r="T152" s="360"/>
      <c r="U152" s="360"/>
      <c r="V152" s="360"/>
      <c r="W152" s="352"/>
      <c r="X152" s="384"/>
      <c r="Y152" s="108"/>
      <c r="Z152" s="108"/>
    </row>
    <row r="153" spans="1:26" ht="30.75" hidden="1" customHeight="1" x14ac:dyDescent="0.25">
      <c r="A153" s="439">
        <v>6</v>
      </c>
      <c r="B153" s="424" t="s">
        <v>28</v>
      </c>
      <c r="C153" s="408" t="s">
        <v>29</v>
      </c>
      <c r="D153" s="362">
        <f>SUM(E153:J153)</f>
        <v>2797658.9344489542</v>
      </c>
      <c r="E153" s="363">
        <f>E145*E147*6/1000+E146*E149</f>
        <v>408883.52900000004</v>
      </c>
      <c r="F153" s="363">
        <f>F145*F147*6/1000+F146*F149</f>
        <v>29031.848602345803</v>
      </c>
      <c r="G153" s="363">
        <f>G145*G147*6/1000+G146*G149</f>
        <v>605807.42292367725</v>
      </c>
      <c r="H153" s="363">
        <f>H145*H147*6/1000+H146*H149</f>
        <v>742621.84775599989</v>
      </c>
      <c r="I153" s="363">
        <f>I146*I149</f>
        <v>753781.61520374496</v>
      </c>
      <c r="J153" s="364">
        <f>J146*J149</f>
        <v>257532.67096318633</v>
      </c>
      <c r="K153" s="362">
        <f>SUM(L153:Q153)</f>
        <v>3034985.6025128812</v>
      </c>
      <c r="L153" s="363">
        <f>L145*L147*6/1000+L146*L149</f>
        <v>321446.20281152567</v>
      </c>
      <c r="M153" s="363">
        <f>M145*M147*6/1000+M146*M149</f>
        <v>29145.976122223659</v>
      </c>
      <c r="N153" s="363">
        <f>N145*N147*6/1000+N146*N149</f>
        <v>665906.41371910472</v>
      </c>
      <c r="O153" s="363">
        <f>O145*O147*6/1000+O146*O149</f>
        <v>887432.52138659987</v>
      </c>
      <c r="P153" s="363">
        <f>P146*P149</f>
        <v>866562.366043268</v>
      </c>
      <c r="Q153" s="365">
        <f>Q146*Q149</f>
        <v>264492.12243015913</v>
      </c>
      <c r="R153" s="366">
        <f t="shared" ref="R153:V156" si="58">D153+K153</f>
        <v>5832644.5369618349</v>
      </c>
      <c r="S153" s="367">
        <f t="shared" si="58"/>
        <v>730329.73181152577</v>
      </c>
      <c r="T153" s="367">
        <f t="shared" si="58"/>
        <v>58177.824724569466</v>
      </c>
      <c r="U153" s="367">
        <f t="shared" si="58"/>
        <v>1271713.836642782</v>
      </c>
      <c r="V153" s="367">
        <f t="shared" si="58"/>
        <v>1630054.3691425999</v>
      </c>
      <c r="W153" s="368">
        <f>I153+P153+J153+Q153</f>
        <v>2142368.7746403585</v>
      </c>
      <c r="X153" s="384"/>
      <c r="Y153" s="108"/>
      <c r="Z153" s="108"/>
    </row>
    <row r="154" spans="1:26" ht="30.75" hidden="1" customHeight="1" x14ac:dyDescent="0.25">
      <c r="A154" s="445"/>
      <c r="B154" s="446" t="s">
        <v>46</v>
      </c>
      <c r="C154" s="447"/>
      <c r="D154" s="370">
        <f>SUM(E154:J154)</f>
        <v>1962959.4106056073</v>
      </c>
      <c r="E154" s="371">
        <f>E153-E155</f>
        <v>356159.37400000007</v>
      </c>
      <c r="F154" s="371">
        <f t="shared" ref="F154:J154" si="59">F153-F155</f>
        <v>23660.739810745901</v>
      </c>
      <c r="G154" s="371">
        <f t="shared" si="59"/>
        <v>475239.34363720997</v>
      </c>
      <c r="H154" s="371">
        <f t="shared" si="59"/>
        <v>515963.34540399991</v>
      </c>
      <c r="I154" s="371">
        <f t="shared" si="59"/>
        <v>496644.7717834154</v>
      </c>
      <c r="J154" s="372">
        <f t="shared" si="59"/>
        <v>95291.835970235901</v>
      </c>
      <c r="K154" s="370">
        <f>SUM(L154:Q154)</f>
        <v>2040770.420701988</v>
      </c>
      <c r="L154" s="371">
        <f>L153-L155</f>
        <v>276734.01552590157</v>
      </c>
      <c r="M154" s="371">
        <f t="shared" ref="M154:Q154" si="60">M153-M155</f>
        <v>23329.292166054209</v>
      </c>
      <c r="N154" s="371">
        <f t="shared" si="60"/>
        <v>511087.78125345532</v>
      </c>
      <c r="O154" s="371">
        <f t="shared" si="60"/>
        <v>595254.70633859979</v>
      </c>
      <c r="P154" s="371">
        <f t="shared" si="60"/>
        <v>548917.93264884991</v>
      </c>
      <c r="Q154" s="373">
        <f t="shared" si="60"/>
        <v>85446.692769127199</v>
      </c>
      <c r="R154" s="366">
        <f t="shared" si="58"/>
        <v>4003729.8313075956</v>
      </c>
      <c r="S154" s="367">
        <f t="shared" si="58"/>
        <v>632893.38952590164</v>
      </c>
      <c r="T154" s="367">
        <f t="shared" si="58"/>
        <v>46990.031976800106</v>
      </c>
      <c r="U154" s="367">
        <f t="shared" si="58"/>
        <v>986327.12489066529</v>
      </c>
      <c r="V154" s="367">
        <f t="shared" si="58"/>
        <v>1111218.0517425998</v>
      </c>
      <c r="W154" s="368"/>
      <c r="X154" s="384"/>
    </row>
    <row r="155" spans="1:26" ht="30.75" hidden="1" customHeight="1" x14ac:dyDescent="0.3">
      <c r="A155" s="445"/>
      <c r="B155" s="446" t="s">
        <v>47</v>
      </c>
      <c r="C155" s="447"/>
      <c r="D155" s="370">
        <f>SUM(E155:J155)</f>
        <v>834699.52384334721</v>
      </c>
      <c r="E155" s="371">
        <f>E146*E149</f>
        <v>52724.154999999992</v>
      </c>
      <c r="F155" s="371">
        <f>F146*F149</f>
        <v>5371.1087915999005</v>
      </c>
      <c r="G155" s="371">
        <f>G146*G149</f>
        <v>130568.07928646731</v>
      </c>
      <c r="H155" s="371">
        <f>H146*H149</f>
        <v>226658.50235200001</v>
      </c>
      <c r="I155" s="371">
        <f>I146*H149</f>
        <v>257136.84342032956</v>
      </c>
      <c r="J155" s="372">
        <f>J146*H149</f>
        <v>162240.83499295043</v>
      </c>
      <c r="K155" s="374">
        <f>SUM(L155:Q155)</f>
        <v>994215.181810893</v>
      </c>
      <c r="L155" s="371">
        <f>L146*L149</f>
        <v>44712.187285624117</v>
      </c>
      <c r="M155" s="371">
        <f>M146*M149</f>
        <v>5816.6839561694514</v>
      </c>
      <c r="N155" s="371">
        <f>N146*N149</f>
        <v>154818.63246564943</v>
      </c>
      <c r="O155" s="371">
        <f>O146*O149</f>
        <v>292177.81504800002</v>
      </c>
      <c r="P155" s="371">
        <f>P146*O149</f>
        <v>317644.43339441816</v>
      </c>
      <c r="Q155" s="373">
        <f>Q146*O149</f>
        <v>179045.42966103193</v>
      </c>
      <c r="R155" s="366">
        <f t="shared" si="58"/>
        <v>1828914.7056542402</v>
      </c>
      <c r="S155" s="367">
        <f t="shared" si="58"/>
        <v>97436.342285624109</v>
      </c>
      <c r="T155" s="367">
        <f t="shared" si="58"/>
        <v>11187.792747769352</v>
      </c>
      <c r="U155" s="367">
        <f t="shared" si="58"/>
        <v>285386.71175211674</v>
      </c>
      <c r="V155" s="367">
        <f t="shared" si="58"/>
        <v>518836.31740000006</v>
      </c>
      <c r="W155" s="368"/>
      <c r="X155" s="464"/>
      <c r="Y155" s="466"/>
      <c r="Z155" s="466"/>
    </row>
    <row r="156" spans="1:26" ht="30.75" hidden="1" customHeight="1" x14ac:dyDescent="0.25">
      <c r="A156" s="451">
        <v>7</v>
      </c>
      <c r="B156" s="452" t="s">
        <v>30</v>
      </c>
      <c r="C156" s="453" t="s">
        <v>29</v>
      </c>
      <c r="D156" s="376">
        <f>SUM(E156:J156)</f>
        <v>2797658.9344489542</v>
      </c>
      <c r="E156" s="377">
        <f t="shared" ref="E156:J156" si="61">E146*E151</f>
        <v>408883.52900000004</v>
      </c>
      <c r="F156" s="377">
        <f t="shared" si="61"/>
        <v>29031.848602345803</v>
      </c>
      <c r="G156" s="377">
        <f t="shared" si="61"/>
        <v>605807.42292367725</v>
      </c>
      <c r="H156" s="377">
        <f t="shared" si="61"/>
        <v>742621.847756</v>
      </c>
      <c r="I156" s="377">
        <f t="shared" si="61"/>
        <v>753781.61520374496</v>
      </c>
      <c r="J156" s="378">
        <f t="shared" si="61"/>
        <v>257532.67096318633</v>
      </c>
      <c r="K156" s="379">
        <f>SUM(L156:Q156)</f>
        <v>3034985.6025128812</v>
      </c>
      <c r="L156" s="377">
        <f t="shared" ref="L156:Q156" si="62">L146*L151</f>
        <v>321446.20281152567</v>
      </c>
      <c r="M156" s="377">
        <f t="shared" si="62"/>
        <v>29145.976122223659</v>
      </c>
      <c r="N156" s="377">
        <f t="shared" si="62"/>
        <v>665906.41371910472</v>
      </c>
      <c r="O156" s="377">
        <f t="shared" si="62"/>
        <v>887432.52138659987</v>
      </c>
      <c r="P156" s="377">
        <f t="shared" si="62"/>
        <v>866562.366043268</v>
      </c>
      <c r="Q156" s="380">
        <f t="shared" si="62"/>
        <v>264492.12243015913</v>
      </c>
      <c r="R156" s="381">
        <f t="shared" si="58"/>
        <v>5832644.5369618349</v>
      </c>
      <c r="S156" s="382">
        <f t="shared" si="58"/>
        <v>730329.73181152577</v>
      </c>
      <c r="T156" s="382">
        <f t="shared" si="58"/>
        <v>58177.824724569466</v>
      </c>
      <c r="U156" s="382">
        <f t="shared" si="58"/>
        <v>1271713.836642782</v>
      </c>
      <c r="V156" s="382">
        <f t="shared" si="58"/>
        <v>1630054.3691425999</v>
      </c>
      <c r="W156" s="383">
        <f>I156+P156+J156+Q156</f>
        <v>2142368.7746403585</v>
      </c>
      <c r="X156" s="384"/>
    </row>
    <row r="157" spans="1:26" ht="15.75" hidden="1" customHeight="1" x14ac:dyDescent="0.25">
      <c r="A157" s="461"/>
      <c r="B157" s="462" t="s">
        <v>32</v>
      </c>
      <c r="C157" s="461"/>
      <c r="D157" s="463">
        <f>D153-D156</f>
        <v>0</v>
      </c>
      <c r="E157" s="463">
        <f>E153-E156</f>
        <v>0</v>
      </c>
      <c r="F157" s="463">
        <f t="shared" ref="F157:W157" si="63">F153-F156</f>
        <v>0</v>
      </c>
      <c r="G157" s="463">
        <f t="shared" si="63"/>
        <v>0</v>
      </c>
      <c r="H157" s="463">
        <f t="shared" si="63"/>
        <v>0</v>
      </c>
      <c r="I157" s="463">
        <f t="shared" si="63"/>
        <v>0</v>
      </c>
      <c r="J157" s="463">
        <f t="shared" si="63"/>
        <v>0</v>
      </c>
      <c r="K157" s="463">
        <f t="shared" si="63"/>
        <v>0</v>
      </c>
      <c r="L157" s="463">
        <f t="shared" si="63"/>
        <v>0</v>
      </c>
      <c r="M157" s="463">
        <f t="shared" si="63"/>
        <v>0</v>
      </c>
      <c r="N157" s="463">
        <f t="shared" si="63"/>
        <v>0</v>
      </c>
      <c r="O157" s="463">
        <f t="shared" si="63"/>
        <v>0</v>
      </c>
      <c r="P157" s="463">
        <f t="shared" si="63"/>
        <v>0</v>
      </c>
      <c r="Q157" s="463">
        <f t="shared" si="63"/>
        <v>0</v>
      </c>
      <c r="R157" s="463">
        <f t="shared" si="63"/>
        <v>0</v>
      </c>
      <c r="S157" s="463">
        <f t="shared" si="63"/>
        <v>0</v>
      </c>
      <c r="T157" s="463">
        <f t="shared" si="63"/>
        <v>0</v>
      </c>
      <c r="U157" s="463">
        <f t="shared" si="63"/>
        <v>0</v>
      </c>
      <c r="V157" s="463">
        <f t="shared" si="63"/>
        <v>0</v>
      </c>
      <c r="W157" s="463">
        <f t="shared" si="63"/>
        <v>0</v>
      </c>
      <c r="X157" s="384"/>
    </row>
    <row r="158" spans="1:26" hidden="1" x14ac:dyDescent="0.25">
      <c r="A158" s="384"/>
      <c r="B158" s="384"/>
      <c r="C158" s="384"/>
      <c r="D158" s="384"/>
      <c r="E158" s="384"/>
      <c r="F158" s="384"/>
      <c r="G158" s="384"/>
      <c r="H158" s="384"/>
      <c r="I158" s="384"/>
      <c r="J158" s="384"/>
      <c r="K158" s="384"/>
      <c r="L158" s="384"/>
      <c r="M158" s="384"/>
      <c r="N158" s="384"/>
      <c r="O158" s="384"/>
      <c r="P158" s="384"/>
      <c r="Q158" s="384"/>
      <c r="R158" s="384"/>
      <c r="S158" s="384"/>
      <c r="T158" s="384"/>
      <c r="U158" s="384"/>
      <c r="V158" s="384"/>
      <c r="W158" s="384"/>
      <c r="X158" s="384"/>
    </row>
    <row r="159" spans="1:26" s="466" customFormat="1" ht="28.5" hidden="1" customHeight="1" x14ac:dyDescent="0.35">
      <c r="A159" s="464"/>
      <c r="B159" s="385" t="s">
        <v>68</v>
      </c>
      <c r="C159" s="464"/>
      <c r="D159" s="464"/>
      <c r="E159" s="465" t="e">
        <f>#REF!/$D$110</f>
        <v>#REF!</v>
      </c>
      <c r="F159" s="465" t="e">
        <f>#REF!/$D$110</f>
        <v>#REF!</v>
      </c>
      <c r="G159" s="465" t="e">
        <f>#REF!/$D$110</f>
        <v>#REF!</v>
      </c>
      <c r="H159" s="465" t="e">
        <f>#REF!/$D$110</f>
        <v>#REF!</v>
      </c>
      <c r="I159" s="465" t="e">
        <f>#REF!/$D$110</f>
        <v>#REF!</v>
      </c>
      <c r="J159" s="465" t="e">
        <f>#REF!/$D$110</f>
        <v>#REF!</v>
      </c>
      <c r="K159" s="464"/>
      <c r="L159" s="465" t="e">
        <f>#REF!/$K$110</f>
        <v>#REF!</v>
      </c>
      <c r="M159" s="465" t="e">
        <f>#REF!/$K$110</f>
        <v>#REF!</v>
      </c>
      <c r="N159" s="465" t="e">
        <f>#REF!/$K$110</f>
        <v>#REF!</v>
      </c>
      <c r="O159" s="465" t="e">
        <f>#REF!/$K$110</f>
        <v>#REF!</v>
      </c>
      <c r="P159" s="465" t="e">
        <f>#REF!/$K$110</f>
        <v>#REF!</v>
      </c>
      <c r="Q159" s="465" t="e">
        <f>#REF!/$K$110</f>
        <v>#REF!</v>
      </c>
      <c r="R159" s="464"/>
      <c r="S159" s="464"/>
      <c r="T159" s="464"/>
      <c r="U159" s="464"/>
      <c r="V159" s="464"/>
      <c r="W159" s="464"/>
      <c r="X159" s="384"/>
      <c r="Y159"/>
      <c r="Z159"/>
    </row>
    <row r="160" spans="1:26" ht="28.5" hidden="1" customHeight="1" x14ac:dyDescent="0.35">
      <c r="A160" s="384"/>
      <c r="B160" s="385" t="s">
        <v>69</v>
      </c>
      <c r="C160" s="384"/>
      <c r="D160" s="384"/>
      <c r="E160" s="465">
        <f t="shared" ref="E160:J160" si="64">E146/$D$127</f>
        <v>0.28790973585647783</v>
      </c>
      <c r="F160" s="465">
        <f t="shared" si="64"/>
        <v>1.5724144503915443E-2</v>
      </c>
      <c r="G160" s="465">
        <f t="shared" si="64"/>
        <v>0.20384918690540199</v>
      </c>
      <c r="H160" s="465">
        <f t="shared" si="64"/>
        <v>0.17777372860835591</v>
      </c>
      <c r="I160" s="465">
        <f t="shared" si="64"/>
        <v>0.20167862640521683</v>
      </c>
      <c r="J160" s="465">
        <f t="shared" si="64"/>
        <v>0.12724939885307296</v>
      </c>
      <c r="K160" s="384"/>
      <c r="L160" s="465">
        <f t="shared" ref="L160:Q160" si="65">L146/$K$127</f>
        <v>0.21466958170237502</v>
      </c>
      <c r="M160" s="465">
        <f t="shared" si="65"/>
        <v>1.4971882704770418E-2</v>
      </c>
      <c r="N160" s="465">
        <f t="shared" si="65"/>
        <v>0.21251670138416237</v>
      </c>
      <c r="O160" s="465">
        <f t="shared" si="65"/>
        <v>0.20148405136117639</v>
      </c>
      <c r="P160" s="465">
        <f t="shared" si="65"/>
        <v>0.21904567710631459</v>
      </c>
      <c r="Q160" s="465">
        <f t="shared" si="65"/>
        <v>0.12346864370890293</v>
      </c>
      <c r="R160" s="384"/>
      <c r="S160" s="384"/>
      <c r="T160" s="384"/>
      <c r="U160" s="384"/>
      <c r="V160" s="384"/>
      <c r="W160" s="384"/>
      <c r="X160" s="384"/>
    </row>
    <row r="161" spans="1:26" ht="15.75" hidden="1" x14ac:dyDescent="0.25">
      <c r="A161" s="384"/>
      <c r="B161" s="384"/>
      <c r="C161" s="384"/>
      <c r="D161" s="384"/>
      <c r="E161" s="384"/>
      <c r="F161" s="384"/>
      <c r="G161" s="384"/>
      <c r="H161" s="384"/>
      <c r="I161" s="384"/>
      <c r="J161" s="384"/>
      <c r="K161" s="384"/>
      <c r="L161" s="384"/>
      <c r="M161" s="384"/>
      <c r="N161" s="384"/>
      <c r="O161" s="384"/>
      <c r="P161" s="384"/>
      <c r="Q161" s="384"/>
      <c r="R161" s="384" t="e">
        <f>R151/#REF!</f>
        <v>#REF!</v>
      </c>
      <c r="S161" s="384"/>
      <c r="T161" s="384"/>
      <c r="U161" s="384"/>
      <c r="V161" s="384"/>
      <c r="W161" s="384"/>
      <c r="X161" s="384"/>
      <c r="Y161" s="108" t="s">
        <v>44</v>
      </c>
      <c r="Z161" s="108">
        <f>(R178-W178)/(R167-W167)</f>
        <v>1747.6894697526504</v>
      </c>
    </row>
    <row r="162" spans="1:26" ht="21" hidden="1" x14ac:dyDescent="0.35">
      <c r="A162" s="384"/>
      <c r="B162" s="384"/>
      <c r="C162" s="384"/>
      <c r="D162" s="384"/>
      <c r="E162" s="384"/>
      <c r="F162" s="384"/>
      <c r="G162" s="384"/>
      <c r="H162" s="384"/>
      <c r="I162" s="384"/>
      <c r="J162" s="384"/>
      <c r="K162" s="384"/>
      <c r="L162" s="384"/>
      <c r="M162" s="384"/>
      <c r="N162" s="384"/>
      <c r="O162" s="384"/>
      <c r="P162" s="384"/>
      <c r="Q162" s="384"/>
      <c r="R162" s="384"/>
      <c r="S162" s="384"/>
      <c r="T162" s="384"/>
      <c r="U162" s="384"/>
      <c r="V162" s="384"/>
      <c r="W162" s="384"/>
      <c r="X162" s="405">
        <v>430.77</v>
      </c>
      <c r="Y162" s="108" t="s">
        <v>45</v>
      </c>
      <c r="Z162" s="108">
        <f>W178/W167</f>
        <v>2208.3011238327485</v>
      </c>
    </row>
    <row r="163" spans="1:26" ht="37.5" hidden="1" customHeight="1" x14ac:dyDescent="0.35">
      <c r="A163" s="386" t="s">
        <v>65</v>
      </c>
      <c r="B163" s="387"/>
      <c r="C163" s="684" t="s">
        <v>73</v>
      </c>
      <c r="D163" s="684"/>
      <c r="E163" s="684"/>
      <c r="F163" s="684"/>
      <c r="G163" s="684"/>
      <c r="H163" s="684"/>
      <c r="I163" s="387"/>
      <c r="J163" s="387"/>
      <c r="K163" s="388" t="s">
        <v>55</v>
      </c>
      <c r="L163" s="389">
        <v>1.03</v>
      </c>
      <c r="M163" s="387"/>
      <c r="N163" s="387"/>
      <c r="O163" s="390" t="s">
        <v>56</v>
      </c>
      <c r="P163" s="391">
        <v>1.0329999999999999</v>
      </c>
      <c r="Q163" s="387"/>
      <c r="R163" s="387"/>
      <c r="S163" s="387"/>
      <c r="T163" s="387"/>
      <c r="U163" s="387"/>
      <c r="V163" s="387"/>
      <c r="W163" s="387"/>
      <c r="X163" s="405">
        <f>R167-K167-D167</f>
        <v>0</v>
      </c>
      <c r="Y163" s="108"/>
      <c r="Z163" s="108"/>
    </row>
    <row r="164" spans="1:26" ht="21.75" hidden="1" thickBot="1" x14ac:dyDescent="0.4">
      <c r="A164" s="664" t="s">
        <v>1</v>
      </c>
      <c r="B164" s="685" t="s">
        <v>2</v>
      </c>
      <c r="C164" s="668"/>
      <c r="D164" s="677" t="s">
        <v>66</v>
      </c>
      <c r="E164" s="678"/>
      <c r="F164" s="678"/>
      <c r="G164" s="678"/>
      <c r="H164" s="678"/>
      <c r="I164" s="678"/>
      <c r="J164" s="679"/>
      <c r="K164" s="659" t="s">
        <v>67</v>
      </c>
      <c r="L164" s="660"/>
      <c r="M164" s="660"/>
      <c r="N164" s="660"/>
      <c r="O164" s="660"/>
      <c r="P164" s="660"/>
      <c r="Q164" s="680"/>
      <c r="R164" s="659">
        <v>2019</v>
      </c>
      <c r="S164" s="660"/>
      <c r="T164" s="660"/>
      <c r="U164" s="660"/>
      <c r="V164" s="660"/>
      <c r="W164" s="661"/>
      <c r="X164" s="405"/>
      <c r="Y164" s="108"/>
      <c r="Z164" s="108"/>
    </row>
    <row r="165" spans="1:26" ht="32.25" hidden="1" customHeight="1" x14ac:dyDescent="0.35">
      <c r="A165" s="665"/>
      <c r="B165" s="686"/>
      <c r="C165" s="669"/>
      <c r="D165" s="392" t="s">
        <v>5</v>
      </c>
      <c r="E165" s="393" t="s">
        <v>6</v>
      </c>
      <c r="F165" s="393" t="s">
        <v>7</v>
      </c>
      <c r="G165" s="393" t="s">
        <v>8</v>
      </c>
      <c r="H165" s="393" t="s">
        <v>9</v>
      </c>
      <c r="I165" s="394" t="s">
        <v>42</v>
      </c>
      <c r="J165" s="395" t="s">
        <v>43</v>
      </c>
      <c r="K165" s="392" t="s">
        <v>5</v>
      </c>
      <c r="L165" s="393" t="s">
        <v>6</v>
      </c>
      <c r="M165" s="393" t="s">
        <v>7</v>
      </c>
      <c r="N165" s="393" t="s">
        <v>8</v>
      </c>
      <c r="O165" s="393" t="s">
        <v>9</v>
      </c>
      <c r="P165" s="394" t="s">
        <v>42</v>
      </c>
      <c r="Q165" s="396" t="s">
        <v>43</v>
      </c>
      <c r="R165" s="392" t="s">
        <v>5</v>
      </c>
      <c r="S165" s="393" t="s">
        <v>6</v>
      </c>
      <c r="T165" s="393" t="s">
        <v>7</v>
      </c>
      <c r="U165" s="393" t="s">
        <v>8</v>
      </c>
      <c r="V165" s="393" t="s">
        <v>9</v>
      </c>
      <c r="W165" s="396" t="s">
        <v>43</v>
      </c>
      <c r="X165" s="405"/>
      <c r="Y165" s="108">
        <f>E167+L167</f>
        <v>875.79691462846836</v>
      </c>
      <c r="Z165" s="108">
        <f>F167+M167</f>
        <v>44.238645379130944</v>
      </c>
    </row>
    <row r="166" spans="1:26" ht="36" hidden="1" customHeight="1" x14ac:dyDescent="0.35">
      <c r="A166" s="397" t="s">
        <v>12</v>
      </c>
      <c r="B166" s="398" t="s">
        <v>13</v>
      </c>
      <c r="C166" s="399" t="s">
        <v>14</v>
      </c>
      <c r="D166" s="400">
        <f>E166+F166+G166+H166+I166</f>
        <v>419.08458733503244</v>
      </c>
      <c r="E166" s="401">
        <f>(E178-E167*E171)/(E169/1000*6)</f>
        <v>100.83930293319084</v>
      </c>
      <c r="F166" s="401">
        <f>(F178-F167*F171)/(F169/1000*6)</f>
        <v>7.1676494712250927</v>
      </c>
      <c r="G166" s="401">
        <f>(G178-G167*G171)/(G169/1000*6)</f>
        <v>105.84971639841731</v>
      </c>
      <c r="H166" s="401">
        <f>(H178-H167*H171)/(H169/1000*6)</f>
        <v>49.090451865532557</v>
      </c>
      <c r="I166" s="687">
        <f>(I167+J167)/6*2</f>
        <v>156.13746666666665</v>
      </c>
      <c r="J166" s="688"/>
      <c r="K166" s="402">
        <f>L166+M166+N166+O166+P166</f>
        <v>442.45375637555389</v>
      </c>
      <c r="L166" s="401">
        <f>(L178-L167*L171)/(L169/1000*6)</f>
        <v>104.22184588830663</v>
      </c>
      <c r="M166" s="401">
        <f>(M178-M167*M171)/(M169/1000*6)</f>
        <v>6.9930284953495478</v>
      </c>
      <c r="N166" s="401">
        <f>(N178-N167*N171)/(N169/1000*6)</f>
        <v>116.32461780191215</v>
      </c>
      <c r="O166" s="401">
        <f>(O178-O167*O171)/(O169/1000*6)</f>
        <v>48.31843085665222</v>
      </c>
      <c r="P166" s="687">
        <f>(P167+Q167)/6*2</f>
        <v>166.59583333333333</v>
      </c>
      <c r="Q166" s="688"/>
      <c r="R166" s="403">
        <f t="shared" ref="R166:V166" si="66">(D166+K166)/2</f>
        <v>430.76917185529317</v>
      </c>
      <c r="S166" s="404">
        <f t="shared" si="66"/>
        <v>102.53057441074873</v>
      </c>
      <c r="T166" s="404">
        <f t="shared" si="66"/>
        <v>7.0803389832873203</v>
      </c>
      <c r="U166" s="404">
        <f t="shared" si="66"/>
        <v>111.08716710016473</v>
      </c>
      <c r="V166" s="404">
        <f t="shared" si="66"/>
        <v>48.704441361092393</v>
      </c>
      <c r="W166" s="404">
        <f>W167/6000*1000</f>
        <v>161.36664999999999</v>
      </c>
      <c r="X166" s="405"/>
      <c r="Y166" s="108"/>
      <c r="Z166" s="108"/>
    </row>
    <row r="167" spans="1:26" ht="21" hidden="1" x14ac:dyDescent="0.35">
      <c r="A167" s="406" t="s">
        <v>15</v>
      </c>
      <c r="B167" s="407" t="s">
        <v>16</v>
      </c>
      <c r="C167" s="408" t="s">
        <v>17</v>
      </c>
      <c r="D167" s="409">
        <f>E167+F167+G167+H167+I167+J167</f>
        <v>1404.9278551202985</v>
      </c>
      <c r="E167" s="410">
        <f>E$110/($R$110-$W$110)*($R167-$W167)+50+60+1.2-50+3+9.7-5-15-10-5-5+15+20+20+8.2</f>
        <v>430.67519561714062</v>
      </c>
      <c r="F167" s="410">
        <f>F$110/($R$110-$W$110)*($R167-$W167)</f>
        <v>22.392084892256275</v>
      </c>
      <c r="G167" s="410">
        <f>G$110/($R$110-$W$110)*($R167-$W167)+30-50-60-1.2+50+2.8-3-9.7+15+10+5+5-15-20-20-8.2</f>
        <v>311.29295026298928</v>
      </c>
      <c r="H167" s="410">
        <f>H$110/($R$110-$W$110)*($R167-$W167)-60+0.2+5</f>
        <v>172.15522434791245</v>
      </c>
      <c r="I167" s="410">
        <v>287.20194744424606</v>
      </c>
      <c r="J167" s="410">
        <v>181.2104525557539</v>
      </c>
      <c r="K167" s="411">
        <f>L167+M167+N167+O167+P167+Q167</f>
        <v>1478.3021448797017</v>
      </c>
      <c r="L167" s="410">
        <f>L$110/($R$110-$W$110)*($R167-$W167)+10.4+80-30-1-1-0.5+1-5-10-10-10-5+30+30+10+1+10</f>
        <v>445.1217190113278</v>
      </c>
      <c r="M167" s="410">
        <f>M$110/($R$110-$W$110)*($R167-$W167)</f>
        <v>21.846560486874672</v>
      </c>
      <c r="N167" s="410">
        <f>N$110/($R$110-$W$110)*($R167-$W167)+90-0.4-80+30+1+1+0.5-1-3+10-30-30-1-10</f>
        <v>342.09854023107522</v>
      </c>
      <c r="O167" s="410">
        <f>O$110/($R$110-$W$110)*($R167-$W167)-70+5+10+10+5-10</f>
        <v>169.44782515042382</v>
      </c>
      <c r="P167" s="410">
        <v>316.17291177638822</v>
      </c>
      <c r="Q167" s="410">
        <v>183.61458822361183</v>
      </c>
      <c r="R167" s="412">
        <v>2883.23</v>
      </c>
      <c r="S167" s="413">
        <f>E167+L167</f>
        <v>875.79691462846836</v>
      </c>
      <c r="T167" s="413">
        <f>F167+M167</f>
        <v>44.238645379130944</v>
      </c>
      <c r="U167" s="413">
        <f>G167+N167</f>
        <v>653.39149049406456</v>
      </c>
      <c r="V167" s="413">
        <f>H167+O167</f>
        <v>341.6030494983363</v>
      </c>
      <c r="W167" s="413">
        <v>968.19989999999996</v>
      </c>
      <c r="X167" s="405"/>
      <c r="Y167" s="108"/>
      <c r="Z167" s="108"/>
    </row>
    <row r="168" spans="1:26" ht="18.75" hidden="1" x14ac:dyDescent="0.25">
      <c r="A168" s="414"/>
      <c r="B168" s="415"/>
      <c r="C168" s="416"/>
      <c r="D168" s="417"/>
      <c r="E168" s="418"/>
      <c r="F168" s="418"/>
      <c r="G168" s="418"/>
      <c r="H168" s="418"/>
      <c r="I168" s="418"/>
      <c r="J168" s="419"/>
      <c r="K168" s="417"/>
      <c r="L168" s="418"/>
      <c r="M168" s="418"/>
      <c r="N168" s="418"/>
      <c r="O168" s="418"/>
      <c r="P168" s="420"/>
      <c r="Q168" s="420"/>
      <c r="R168" s="43"/>
      <c r="S168" s="421"/>
      <c r="T168" s="421"/>
      <c r="U168" s="421"/>
      <c r="V168" s="421"/>
      <c r="W168" s="422"/>
      <c r="X168" s="384"/>
      <c r="Y168" s="108"/>
      <c r="Z168" s="108"/>
    </row>
    <row r="169" spans="1:26" ht="18.75" hidden="1" x14ac:dyDescent="0.25">
      <c r="A169" s="423" t="s">
        <v>18</v>
      </c>
      <c r="B169" s="424" t="s">
        <v>19</v>
      </c>
      <c r="C169" s="408" t="s">
        <v>20</v>
      </c>
      <c r="D169" s="417"/>
      <c r="E169" s="425">
        <f>E147</f>
        <v>618342.7840000001</v>
      </c>
      <c r="F169" s="425">
        <f t="shared" ref="F169:H169" si="67">F147</f>
        <v>550174.31459999993</v>
      </c>
      <c r="G169" s="425">
        <f t="shared" si="67"/>
        <v>802424.60030000005</v>
      </c>
      <c r="H169" s="425">
        <f t="shared" si="67"/>
        <v>1191230.1847999999</v>
      </c>
      <c r="I169" s="426">
        <v>0</v>
      </c>
      <c r="J169" s="427"/>
      <c r="K169" s="417"/>
      <c r="L169" s="425">
        <f>E169*$L163</f>
        <v>636893.06752000016</v>
      </c>
      <c r="M169" s="425">
        <f>F169*$L163</f>
        <v>566679.54403799993</v>
      </c>
      <c r="N169" s="425">
        <f>G169*$L163</f>
        <v>826497.33830900013</v>
      </c>
      <c r="O169" s="425">
        <f>H169*$L163</f>
        <v>1226967.0903439999</v>
      </c>
      <c r="P169" s="426"/>
      <c r="Q169" s="426"/>
      <c r="R169" s="428">
        <f>R176/R166/12*1000</f>
        <v>748792.81402343814</v>
      </c>
      <c r="S169" s="428">
        <f>S176/S166/12*1000</f>
        <v>627770.92190577567</v>
      </c>
      <c r="T169" s="428">
        <f>T176/T166/12*1000</f>
        <v>558325.16303075035</v>
      </c>
      <c r="U169" s="428">
        <f>U176/U166/12*1000</f>
        <v>815028.45059810684</v>
      </c>
      <c r="V169" s="428">
        <f>V176/V166/12*1000</f>
        <v>1208957.0198822096</v>
      </c>
      <c r="W169" s="422"/>
      <c r="X169" s="384"/>
      <c r="Y169" s="108"/>
      <c r="Z169" s="108"/>
    </row>
    <row r="170" spans="1:26" ht="18.75" hidden="1" x14ac:dyDescent="0.25">
      <c r="A170" s="423"/>
      <c r="B170" s="424"/>
      <c r="C170" s="408"/>
      <c r="D170" s="417"/>
      <c r="E170" s="429">
        <f>E169/L150*100</f>
        <v>557065.57117117115</v>
      </c>
      <c r="F170" s="429">
        <f t="shared" ref="F170:H170" si="68">F169/M150*100</f>
        <v>495652.53567567549</v>
      </c>
      <c r="G170" s="429">
        <f t="shared" si="68"/>
        <v>722905.04531531525</v>
      </c>
      <c r="H170" s="429">
        <f t="shared" si="68"/>
        <v>1073180.3466666664</v>
      </c>
      <c r="I170" s="425"/>
      <c r="J170" s="427"/>
      <c r="K170" s="417"/>
      <c r="L170" s="429">
        <f>L169/E169*100</f>
        <v>103</v>
      </c>
      <c r="M170" s="429">
        <f>M169/F169*100</f>
        <v>103</v>
      </c>
      <c r="N170" s="429">
        <f>N169/G169*100</f>
        <v>103</v>
      </c>
      <c r="O170" s="429">
        <f>O169/H169*100</f>
        <v>103</v>
      </c>
      <c r="P170" s="426"/>
      <c r="Q170" s="426"/>
      <c r="R170" s="43"/>
      <c r="S170" s="421"/>
      <c r="T170" s="421"/>
      <c r="U170" s="421"/>
      <c r="V170" s="421"/>
      <c r="W170" s="422"/>
      <c r="X170" s="384"/>
      <c r="Y170" s="108"/>
      <c r="Z170" s="108"/>
    </row>
    <row r="171" spans="1:26" ht="37.5" hidden="1" x14ac:dyDescent="0.25">
      <c r="A171" s="423" t="s">
        <v>21</v>
      </c>
      <c r="B171" s="424" t="s">
        <v>22</v>
      </c>
      <c r="C171" s="408" t="s">
        <v>23</v>
      </c>
      <c r="D171" s="417"/>
      <c r="E171" s="425">
        <f>E149</f>
        <v>128.59549999999999</v>
      </c>
      <c r="F171" s="425">
        <f t="shared" ref="F171:H171" si="69">F149</f>
        <v>239.8664</v>
      </c>
      <c r="G171" s="425">
        <f t="shared" si="69"/>
        <v>449.78040000000004</v>
      </c>
      <c r="H171" s="425">
        <f t="shared" si="69"/>
        <v>895.31720000000007</v>
      </c>
      <c r="I171" s="425">
        <f>I149</f>
        <v>2624.57</v>
      </c>
      <c r="J171" s="425">
        <f t="shared" ref="J171" si="70">J149</f>
        <v>1421.18</v>
      </c>
      <c r="K171" s="417"/>
      <c r="L171" s="425">
        <f>E171*$L163</f>
        <v>132.45336499999999</v>
      </c>
      <c r="M171" s="425">
        <f>F171*$L163</f>
        <v>247.06239200000002</v>
      </c>
      <c r="N171" s="425">
        <f>G171*$L163</f>
        <v>463.27381200000008</v>
      </c>
      <c r="O171" s="425">
        <f>H171*$L163</f>
        <v>922.17671600000006</v>
      </c>
      <c r="P171" s="425">
        <f>I171*$P163</f>
        <v>2711.1808099999998</v>
      </c>
      <c r="Q171" s="425">
        <f>J171*$P163</f>
        <v>1468.0789399999999</v>
      </c>
      <c r="R171" s="428">
        <f>R177/R167</f>
        <v>559.88337476970855</v>
      </c>
      <c r="S171" s="428">
        <f>S177/S167</f>
        <v>130.55625079945003</v>
      </c>
      <c r="T171" s="428">
        <f>T177/T167</f>
        <v>243.4200276742603</v>
      </c>
      <c r="U171" s="428">
        <f>U177/U167</f>
        <v>456.84519440747846</v>
      </c>
      <c r="V171" s="428">
        <f>V177/V167</f>
        <v>908.6405195004462</v>
      </c>
      <c r="W171" s="422"/>
      <c r="X171" s="384"/>
      <c r="Y171" s="108"/>
      <c r="Z171" s="108"/>
    </row>
    <row r="172" spans="1:26" ht="18.75" hidden="1" x14ac:dyDescent="0.25">
      <c r="A172" s="423"/>
      <c r="B172" s="424"/>
      <c r="C172" s="408" t="s">
        <v>23</v>
      </c>
      <c r="D172" s="417"/>
      <c r="E172" s="429">
        <f>E171/L152*100</f>
        <v>124.97133138969873</v>
      </c>
      <c r="F172" s="429">
        <f t="shared" ref="F172:J172" si="71">F171/M152*100</f>
        <v>233.1063168124393</v>
      </c>
      <c r="G172" s="429">
        <f t="shared" si="71"/>
        <v>437.10437317784266</v>
      </c>
      <c r="H172" s="429">
        <f t="shared" si="71"/>
        <v>870.08474246841615</v>
      </c>
      <c r="I172" s="429">
        <f t="shared" si="71"/>
        <v>2540.7260406582773</v>
      </c>
      <c r="J172" s="429">
        <f t="shared" si="71"/>
        <v>1375.7792836398839</v>
      </c>
      <c r="K172" s="417"/>
      <c r="L172" s="429">
        <f t="shared" ref="L172:Q172" si="72">L171/E171*100</f>
        <v>103</v>
      </c>
      <c r="M172" s="429">
        <f t="shared" si="72"/>
        <v>103</v>
      </c>
      <c r="N172" s="429">
        <f t="shared" si="72"/>
        <v>103</v>
      </c>
      <c r="O172" s="429">
        <f t="shared" si="72"/>
        <v>103</v>
      </c>
      <c r="P172" s="430">
        <f t="shared" si="72"/>
        <v>103.3</v>
      </c>
      <c r="Q172" s="430">
        <f t="shared" si="72"/>
        <v>103.3</v>
      </c>
      <c r="R172" s="43"/>
      <c r="S172" s="421"/>
      <c r="T172" s="421"/>
      <c r="U172" s="421"/>
      <c r="V172" s="421"/>
      <c r="W172" s="422"/>
      <c r="X172" s="384"/>
      <c r="Y172" s="108"/>
      <c r="Z172" s="108"/>
    </row>
    <row r="173" spans="1:26" ht="19.5" hidden="1" x14ac:dyDescent="0.25">
      <c r="A173" s="423" t="s">
        <v>25</v>
      </c>
      <c r="B173" s="424" t="s">
        <v>26</v>
      </c>
      <c r="C173" s="431"/>
      <c r="D173" s="432">
        <f>D178/D167</f>
        <v>1868.0548021271131</v>
      </c>
      <c r="E173" s="425">
        <f>E151</f>
        <v>997.27690000000007</v>
      </c>
      <c r="F173" s="425">
        <f t="shared" ref="F173:J173" si="73">F151</f>
        <v>1296.5228</v>
      </c>
      <c r="G173" s="425">
        <f t="shared" si="73"/>
        <v>2086.8829999999998</v>
      </c>
      <c r="H173" s="425">
        <f t="shared" si="73"/>
        <v>2933.4090999999999</v>
      </c>
      <c r="I173" s="425">
        <f t="shared" si="73"/>
        <v>2624.57</v>
      </c>
      <c r="J173" s="425">
        <f t="shared" si="73"/>
        <v>1421.18</v>
      </c>
      <c r="K173" s="432">
        <f>K178/K167</f>
        <v>1934.9715826376446</v>
      </c>
      <c r="L173" s="425">
        <f>E173*$L163</f>
        <v>1027.1952070000002</v>
      </c>
      <c r="M173" s="425">
        <f>F173*$L163</f>
        <v>1335.418484</v>
      </c>
      <c r="N173" s="425">
        <f>G173*$L163</f>
        <v>2149.4894899999999</v>
      </c>
      <c r="O173" s="425">
        <f>H173*$L163</f>
        <v>3021.4113729999999</v>
      </c>
      <c r="P173" s="425">
        <f>P171</f>
        <v>2711.1808099999998</v>
      </c>
      <c r="Q173" s="425">
        <f>Q171</f>
        <v>1468.0789399999999</v>
      </c>
      <c r="R173" s="350">
        <f>R178/R167</f>
        <v>1902.3646629974437</v>
      </c>
      <c r="S173" s="433"/>
      <c r="T173" s="433"/>
      <c r="U173" s="433"/>
      <c r="V173" s="433"/>
      <c r="W173" s="422"/>
      <c r="X173" s="384"/>
      <c r="Y173" s="108"/>
      <c r="Z173" s="108"/>
    </row>
    <row r="174" spans="1:26" ht="23.25" hidden="1" x14ac:dyDescent="0.25">
      <c r="A174" s="417"/>
      <c r="B174" s="434" t="s">
        <v>27</v>
      </c>
      <c r="C174" s="435"/>
      <c r="D174" s="417"/>
      <c r="E174" s="429">
        <f>E173/L154*100</f>
        <v>0.3603738044651969</v>
      </c>
      <c r="F174" s="429">
        <f t="shared" ref="F174:J174" si="74">F173/M154*100</f>
        <v>5.5574888032245289</v>
      </c>
      <c r="G174" s="429">
        <f t="shared" si="74"/>
        <v>0.40832183365485047</v>
      </c>
      <c r="H174" s="429">
        <f t="shared" si="74"/>
        <v>0.4927989764320122</v>
      </c>
      <c r="I174" s="429">
        <f t="shared" si="74"/>
        <v>0.47813522639621475</v>
      </c>
      <c r="J174" s="429">
        <f t="shared" si="74"/>
        <v>1.6632358186641105</v>
      </c>
      <c r="K174" s="436">
        <f>K173/D173</f>
        <v>1.035821636728395</v>
      </c>
      <c r="L174" s="429">
        <f t="shared" ref="L174:Q174" si="75">L173/E173*100</f>
        <v>103.00000000000003</v>
      </c>
      <c r="M174" s="429">
        <f t="shared" si="75"/>
        <v>103</v>
      </c>
      <c r="N174" s="429">
        <f t="shared" si="75"/>
        <v>103</v>
      </c>
      <c r="O174" s="429">
        <f t="shared" si="75"/>
        <v>103</v>
      </c>
      <c r="P174" s="429">
        <f t="shared" si="75"/>
        <v>103.3</v>
      </c>
      <c r="Q174" s="429">
        <f t="shared" si="75"/>
        <v>103.3</v>
      </c>
      <c r="R174" s="437">
        <f>R173/R154*100</f>
        <v>4.7514811017509193E-2</v>
      </c>
      <c r="S174" s="438"/>
      <c r="T174" s="438"/>
      <c r="U174" s="438"/>
      <c r="V174" s="438"/>
      <c r="W174" s="422"/>
      <c r="X174" s="384"/>
      <c r="Y174" s="108"/>
      <c r="Z174" s="108"/>
    </row>
    <row r="175" spans="1:26" ht="18.75" hidden="1" x14ac:dyDescent="0.25">
      <c r="A175" s="439">
        <v>6</v>
      </c>
      <c r="B175" s="424" t="s">
        <v>28</v>
      </c>
      <c r="C175" s="408" t="s">
        <v>29</v>
      </c>
      <c r="D175" s="409">
        <f>SUM(E175:J175)</f>
        <v>2624482.2263996187</v>
      </c>
      <c r="E175" s="440">
        <f>E166*E169*6/1000+E167*E171</f>
        <v>429502.42399195558</v>
      </c>
      <c r="F175" s="440">
        <f>F166*F169*6/1000+F167*F171</f>
        <v>29031.848602345803</v>
      </c>
      <c r="G175" s="440">
        <f>G166*G169*6/1000+G167*G171</f>
        <v>649631.96592367766</v>
      </c>
      <c r="H175" s="440">
        <f>H166*H169*6/1000+H167*H171</f>
        <v>505001.70171470789</v>
      </c>
      <c r="I175" s="440">
        <f>I167*I171</f>
        <v>753781.61520374496</v>
      </c>
      <c r="J175" s="441">
        <f>J167*J171</f>
        <v>257532.67096318633</v>
      </c>
      <c r="K175" s="442">
        <f>SUM(L175:Q175)</f>
        <v>2860472.640894501</v>
      </c>
      <c r="L175" s="410">
        <f>L166*L169*6/1000+L167*L171</f>
        <v>457226.89630003681</v>
      </c>
      <c r="M175" s="410">
        <f>M166*M169*6/1000+M167*M171</f>
        <v>29174.300685996481</v>
      </c>
      <c r="N175" s="410">
        <f>N166*N169*6/1000+N167*N171</f>
        <v>735337.21677103837</v>
      </c>
      <c r="O175" s="410">
        <f>O166*O169*6/1000+O167*O171</f>
        <v>511971.58603960602</v>
      </c>
      <c r="P175" s="443">
        <f>P167*P171</f>
        <v>857201.93104996672</v>
      </c>
      <c r="Q175" s="443">
        <f>Q167*Q171</f>
        <v>269560.7100478565</v>
      </c>
      <c r="R175" s="444">
        <f t="shared" ref="R175:V178" si="76">D175+K175</f>
        <v>5484954.8672941197</v>
      </c>
      <c r="S175" s="413">
        <f t="shared" si="76"/>
        <v>886729.32029199239</v>
      </c>
      <c r="T175" s="413">
        <f t="shared" si="76"/>
        <v>58206.149288342283</v>
      </c>
      <c r="U175" s="413">
        <f t="shared" si="76"/>
        <v>1384969.1826947159</v>
      </c>
      <c r="V175" s="413">
        <f t="shared" si="76"/>
        <v>1016973.2877543139</v>
      </c>
      <c r="W175" s="413">
        <f>I175+P175+J175+Q175</f>
        <v>2138076.9272647547</v>
      </c>
      <c r="X175" s="384"/>
      <c r="Y175" s="108"/>
      <c r="Z175" s="108"/>
    </row>
    <row r="176" spans="1:26" ht="18.75" hidden="1" x14ac:dyDescent="0.25">
      <c r="A176" s="445"/>
      <c r="B176" s="446" t="s">
        <v>46</v>
      </c>
      <c r="C176" s="447"/>
      <c r="D176" s="448">
        <f>SUM(E176:J176)</f>
        <v>1850203.5459617423</v>
      </c>
      <c r="E176" s="449">
        <f>E175-E177</f>
        <v>374119.53187397157</v>
      </c>
      <c r="F176" s="449">
        <f t="shared" ref="F176:J176" si="77">F175-F177</f>
        <v>23660.739810745901</v>
      </c>
      <c r="G176" s="449">
        <f t="shared" si="77"/>
        <v>509618.49823721021</v>
      </c>
      <c r="H176" s="449">
        <f t="shared" si="77"/>
        <v>350868.16828616307</v>
      </c>
      <c r="I176" s="449">
        <f t="shared" si="77"/>
        <v>496644.7717834154</v>
      </c>
      <c r="J176" s="449">
        <f t="shared" si="77"/>
        <v>95291.835970235901</v>
      </c>
      <c r="K176" s="448">
        <f>SUM(L176:Q176)</f>
        <v>2020478.7786951105</v>
      </c>
      <c r="L176" s="449">
        <f>L175-L177</f>
        <v>398269.02678240195</v>
      </c>
      <c r="M176" s="449">
        <f t="shared" ref="M176:Q176" si="78">M175-M177</f>
        <v>23776.837195136541</v>
      </c>
      <c r="N176" s="449">
        <f t="shared" si="78"/>
        <v>576851.92195855279</v>
      </c>
      <c r="O176" s="449">
        <f t="shared" si="78"/>
        <v>355710.74710904597</v>
      </c>
      <c r="P176" s="449">
        <f t="shared" si="78"/>
        <v>565634.63357985928</v>
      </c>
      <c r="Q176" s="449">
        <f t="shared" si="78"/>
        <v>100235.61207011386</v>
      </c>
      <c r="R176" s="444">
        <f t="shared" si="76"/>
        <v>3870682.3246568525</v>
      </c>
      <c r="S176" s="413">
        <f t="shared" si="76"/>
        <v>772388.55865637353</v>
      </c>
      <c r="T176" s="413">
        <f t="shared" si="76"/>
        <v>47437.577005882442</v>
      </c>
      <c r="U176" s="413">
        <f t="shared" si="76"/>
        <v>1086470.420195763</v>
      </c>
      <c r="V176" s="413">
        <f t="shared" si="76"/>
        <v>706578.9153952091</v>
      </c>
      <c r="W176" s="450"/>
      <c r="X176" s="384"/>
    </row>
    <row r="177" spans="1:26" ht="18.75" hidden="1" x14ac:dyDescent="0.3">
      <c r="A177" s="445"/>
      <c r="B177" s="446" t="s">
        <v>47</v>
      </c>
      <c r="C177" s="447"/>
      <c r="D177" s="448">
        <f>SUM(E177:J177)</f>
        <v>774278.68043787614</v>
      </c>
      <c r="E177" s="449">
        <f>E167*E171</f>
        <v>55382.892117984004</v>
      </c>
      <c r="F177" s="449">
        <f t="shared" ref="F177:H177" si="79">F167*F171</f>
        <v>5371.1087915999005</v>
      </c>
      <c r="G177" s="449">
        <f t="shared" si="79"/>
        <v>140013.46768646743</v>
      </c>
      <c r="H177" s="449">
        <f t="shared" si="79"/>
        <v>154133.53342854482</v>
      </c>
      <c r="I177" s="449">
        <f>I167*H171</f>
        <v>257136.84342032956</v>
      </c>
      <c r="J177" s="449">
        <f>J167*H171</f>
        <v>162240.83499295043</v>
      </c>
      <c r="K177" s="448">
        <f>SUM(L177:Q177)</f>
        <v>839993.86219939054</v>
      </c>
      <c r="L177" s="449">
        <f>L167*L171</f>
        <v>58957.869517634834</v>
      </c>
      <c r="M177" s="449">
        <f t="shared" ref="M177:O177" si="80">M167*M171</f>
        <v>5397.4634908599419</v>
      </c>
      <c r="N177" s="449">
        <f t="shared" si="80"/>
        <v>158485.2948124856</v>
      </c>
      <c r="O177" s="449">
        <f t="shared" si="80"/>
        <v>156260.83893056007</v>
      </c>
      <c r="P177" s="449">
        <f>P167*O171</f>
        <v>291567.29747010744</v>
      </c>
      <c r="Q177" s="449">
        <f>Q167*O171</f>
        <v>169325.09797774264</v>
      </c>
      <c r="R177" s="444">
        <f t="shared" si="76"/>
        <v>1614272.5426372667</v>
      </c>
      <c r="S177" s="413">
        <f t="shared" si="76"/>
        <v>114340.76163561884</v>
      </c>
      <c r="T177" s="413">
        <f t="shared" si="76"/>
        <v>10768.572282459842</v>
      </c>
      <c r="U177" s="413">
        <f t="shared" si="76"/>
        <v>298498.76249895303</v>
      </c>
      <c r="V177" s="413">
        <f t="shared" si="76"/>
        <v>310394.37235910492</v>
      </c>
      <c r="W177" s="450"/>
      <c r="X177" s="464"/>
      <c r="Y177" s="470"/>
      <c r="Z177" s="470"/>
    </row>
    <row r="178" spans="1:26" ht="26.25" hidden="1" thickBot="1" x14ac:dyDescent="0.3">
      <c r="A178" s="451">
        <v>7</v>
      </c>
      <c r="B178" s="452" t="s">
        <v>30</v>
      </c>
      <c r="C178" s="453" t="s">
        <v>29</v>
      </c>
      <c r="D178" s="409">
        <f>SUM(E178:J178)</f>
        <v>2624482.2263996187</v>
      </c>
      <c r="E178" s="454">
        <f t="shared" ref="E178:J178" si="81">E167*E173</f>
        <v>429502.42399195558</v>
      </c>
      <c r="F178" s="454">
        <f t="shared" si="81"/>
        <v>29031.848602345803</v>
      </c>
      <c r="G178" s="454">
        <f t="shared" si="81"/>
        <v>649631.96592367778</v>
      </c>
      <c r="H178" s="454">
        <f t="shared" si="81"/>
        <v>505001.70171470795</v>
      </c>
      <c r="I178" s="454">
        <f t="shared" si="81"/>
        <v>753781.61520374496</v>
      </c>
      <c r="J178" s="455">
        <f t="shared" si="81"/>
        <v>257532.67096318633</v>
      </c>
      <c r="K178" s="456">
        <f>SUM(L178:Q178)</f>
        <v>2860472.640894501</v>
      </c>
      <c r="L178" s="457">
        <f t="shared" ref="L178:Q178" si="82">L167*L173</f>
        <v>457226.89630003681</v>
      </c>
      <c r="M178" s="457">
        <f t="shared" si="82"/>
        <v>29174.300685996477</v>
      </c>
      <c r="N178" s="457">
        <f t="shared" si="82"/>
        <v>735337.21677103837</v>
      </c>
      <c r="O178" s="457">
        <f t="shared" si="82"/>
        <v>511971.58603960596</v>
      </c>
      <c r="P178" s="458">
        <f t="shared" si="82"/>
        <v>857201.93104996672</v>
      </c>
      <c r="Q178" s="458">
        <f t="shared" si="82"/>
        <v>269560.7100478565</v>
      </c>
      <c r="R178" s="459">
        <f t="shared" si="76"/>
        <v>5484954.8672941197</v>
      </c>
      <c r="S178" s="460">
        <f t="shared" si="76"/>
        <v>886729.32029199239</v>
      </c>
      <c r="T178" s="460">
        <f t="shared" si="76"/>
        <v>58206.149288342276</v>
      </c>
      <c r="U178" s="460">
        <f t="shared" si="76"/>
        <v>1384969.1826947161</v>
      </c>
      <c r="V178" s="460">
        <f t="shared" si="76"/>
        <v>1016973.2877543139</v>
      </c>
      <c r="W178" s="413">
        <f>I178+P178+J178+Q178</f>
        <v>2138076.9272647547</v>
      </c>
      <c r="X178" s="384"/>
      <c r="Y178" s="471"/>
      <c r="Z178" s="471"/>
    </row>
    <row r="179" spans="1:26" ht="15.75" hidden="1" customHeight="1" x14ac:dyDescent="0.25">
      <c r="A179" s="461"/>
      <c r="B179" s="462" t="s">
        <v>32</v>
      </c>
      <c r="C179" s="461"/>
      <c r="D179" s="463">
        <f>D175-D178</f>
        <v>0</v>
      </c>
      <c r="E179" s="463">
        <f>E175-E178</f>
        <v>0</v>
      </c>
      <c r="F179" s="463">
        <f t="shared" ref="F179:W179" si="83">F175-F178</f>
        <v>0</v>
      </c>
      <c r="G179" s="463">
        <f t="shared" si="83"/>
        <v>0</v>
      </c>
      <c r="H179" s="463">
        <f t="shared" si="83"/>
        <v>0</v>
      </c>
      <c r="I179" s="463">
        <f t="shared" si="83"/>
        <v>0</v>
      </c>
      <c r="J179" s="463">
        <f t="shared" si="83"/>
        <v>0</v>
      </c>
      <c r="K179" s="463">
        <f t="shared" si="83"/>
        <v>0</v>
      </c>
      <c r="L179" s="463">
        <f t="shared" si="83"/>
        <v>0</v>
      </c>
      <c r="M179" s="463">
        <f t="shared" si="83"/>
        <v>0</v>
      </c>
      <c r="N179" s="463">
        <f t="shared" si="83"/>
        <v>0</v>
      </c>
      <c r="O179" s="463">
        <f t="shared" si="83"/>
        <v>0</v>
      </c>
      <c r="P179" s="463">
        <f t="shared" si="83"/>
        <v>0</v>
      </c>
      <c r="Q179" s="463">
        <f t="shared" si="83"/>
        <v>0</v>
      </c>
      <c r="R179" s="463">
        <f t="shared" si="83"/>
        <v>0</v>
      </c>
      <c r="S179" s="463">
        <f t="shared" si="83"/>
        <v>0</v>
      </c>
      <c r="T179" s="463">
        <f t="shared" si="83"/>
        <v>0</v>
      </c>
      <c r="U179" s="463">
        <f t="shared" si="83"/>
        <v>0</v>
      </c>
      <c r="V179" s="463">
        <f t="shared" si="83"/>
        <v>0</v>
      </c>
      <c r="W179" s="463">
        <f t="shared" si="83"/>
        <v>0</v>
      </c>
      <c r="X179" s="384"/>
    </row>
    <row r="180" spans="1:26" hidden="1" x14ac:dyDescent="0.25">
      <c r="A180" s="384"/>
      <c r="B180" s="384"/>
      <c r="C180" s="384"/>
      <c r="D180" s="384"/>
      <c r="E180" s="384"/>
      <c r="F180" s="384"/>
      <c r="G180" s="384"/>
      <c r="H180" s="384"/>
      <c r="I180" s="384"/>
      <c r="J180" s="384"/>
      <c r="K180" s="384"/>
      <c r="L180" s="384"/>
      <c r="M180" s="384"/>
      <c r="N180" s="384"/>
      <c r="O180" s="384"/>
      <c r="P180" s="384"/>
      <c r="Q180" s="384"/>
      <c r="R180" s="384"/>
      <c r="S180" s="384"/>
      <c r="T180" s="384"/>
      <c r="U180" s="384"/>
      <c r="V180" s="384"/>
      <c r="W180" s="384"/>
      <c r="X180" s="384"/>
    </row>
    <row r="181" spans="1:26" s="470" customFormat="1" ht="28.5" hidden="1" customHeight="1" x14ac:dyDescent="0.35">
      <c r="A181" s="464"/>
      <c r="B181" s="385" t="s">
        <v>68</v>
      </c>
      <c r="C181" s="464"/>
      <c r="D181" s="464"/>
      <c r="E181" s="465" t="e">
        <f>#REF!/$D$110</f>
        <v>#REF!</v>
      </c>
      <c r="F181" s="465" t="e">
        <f>#REF!/$D$110</f>
        <v>#REF!</v>
      </c>
      <c r="G181" s="465" t="e">
        <f>#REF!/$D$110</f>
        <v>#REF!</v>
      </c>
      <c r="H181" s="465" t="e">
        <f>#REF!/$D$110</f>
        <v>#REF!</v>
      </c>
      <c r="I181" s="465" t="e">
        <f>#REF!/$D$110</f>
        <v>#REF!</v>
      </c>
      <c r="J181" s="465" t="e">
        <f>#REF!/$D$110</f>
        <v>#REF!</v>
      </c>
      <c r="K181" s="464"/>
      <c r="L181" s="465" t="e">
        <f>#REF!/$K$110</f>
        <v>#REF!</v>
      </c>
      <c r="M181" s="465" t="e">
        <f>#REF!/$K$110</f>
        <v>#REF!</v>
      </c>
      <c r="N181" s="465" t="e">
        <f>#REF!/$K$110</f>
        <v>#REF!</v>
      </c>
      <c r="O181" s="465" t="e">
        <f>#REF!/$K$110</f>
        <v>#REF!</v>
      </c>
      <c r="P181" s="465" t="e">
        <f>#REF!/$K$110</f>
        <v>#REF!</v>
      </c>
      <c r="Q181" s="465" t="e">
        <f>#REF!/$K$110</f>
        <v>#REF!</v>
      </c>
      <c r="R181" s="464"/>
      <c r="S181" s="464"/>
      <c r="T181" s="464"/>
      <c r="U181" s="464"/>
      <c r="V181" s="464"/>
      <c r="W181" s="464"/>
      <c r="X181" s="384"/>
      <c r="Y181"/>
      <c r="Z181"/>
    </row>
    <row r="182" spans="1:26" s="471" customFormat="1" ht="28.5" hidden="1" customHeight="1" x14ac:dyDescent="0.35">
      <c r="A182" s="384"/>
      <c r="B182" s="385" t="s">
        <v>69</v>
      </c>
      <c r="C182" s="384"/>
      <c r="D182" s="384"/>
      <c r="E182" s="465" t="e">
        <f>E167/#REF!</f>
        <v>#REF!</v>
      </c>
      <c r="F182" s="465" t="e">
        <f>F167/#REF!</f>
        <v>#REF!</v>
      </c>
      <c r="G182" s="465" t="e">
        <f>G167/#REF!</f>
        <v>#REF!</v>
      </c>
      <c r="H182" s="465" t="e">
        <f>H167/#REF!</f>
        <v>#REF!</v>
      </c>
      <c r="I182" s="465" t="e">
        <f>I167/#REF!</f>
        <v>#REF!</v>
      </c>
      <c r="J182" s="465" t="e">
        <f>J167/#REF!</f>
        <v>#REF!</v>
      </c>
      <c r="K182" s="384"/>
      <c r="L182" s="465" t="e">
        <f>L167/#REF!</f>
        <v>#REF!</v>
      </c>
      <c r="M182" s="465" t="e">
        <f>M167/#REF!</f>
        <v>#REF!</v>
      </c>
      <c r="N182" s="465" t="e">
        <f>N167/#REF!</f>
        <v>#REF!</v>
      </c>
      <c r="O182" s="465" t="e">
        <f>O167/#REF!</f>
        <v>#REF!</v>
      </c>
      <c r="P182" s="465" t="e">
        <f>P167/#REF!</f>
        <v>#REF!</v>
      </c>
      <c r="Q182" s="465" t="e">
        <f>Q167/#REF!</f>
        <v>#REF!</v>
      </c>
      <c r="R182" s="384"/>
      <c r="S182" s="384"/>
      <c r="T182" s="384"/>
      <c r="U182" s="384"/>
      <c r="V182" s="384"/>
      <c r="W182" s="384"/>
      <c r="X182" s="384"/>
      <c r="Y182"/>
      <c r="Z182"/>
    </row>
    <row r="183" spans="1:26" ht="15.75" hidden="1" x14ac:dyDescent="0.25">
      <c r="A183" s="384"/>
      <c r="B183" s="384"/>
      <c r="C183" s="384"/>
      <c r="D183" s="384"/>
      <c r="E183" s="384"/>
      <c r="F183" s="384"/>
      <c r="G183" s="384"/>
      <c r="H183" s="384"/>
      <c r="I183" s="384"/>
      <c r="J183" s="384"/>
      <c r="K183" s="384"/>
      <c r="L183" s="384"/>
      <c r="M183" s="384"/>
      <c r="N183" s="384"/>
      <c r="O183" s="384"/>
      <c r="P183" s="384"/>
      <c r="Q183" s="384"/>
      <c r="R183" s="384"/>
      <c r="S183" s="384"/>
      <c r="T183" s="384"/>
      <c r="U183" s="384"/>
      <c r="V183" s="384"/>
      <c r="W183" s="384"/>
      <c r="X183" s="384"/>
      <c r="Y183" s="108" t="s">
        <v>44</v>
      </c>
      <c r="Z183" s="108">
        <f>(R199-W199)/(R189-W189)</f>
        <v>1781.9954074595071</v>
      </c>
    </row>
    <row r="184" spans="1:26" ht="21" hidden="1" x14ac:dyDescent="0.35">
      <c r="A184" s="384"/>
      <c r="B184" s="384"/>
      <c r="C184" s="384"/>
      <c r="D184" s="384"/>
      <c r="E184" s="384"/>
      <c r="F184" s="384"/>
      <c r="G184" s="384"/>
      <c r="H184" s="384"/>
      <c r="I184" s="384"/>
      <c r="J184" s="384"/>
      <c r="K184" s="384"/>
      <c r="L184" s="384"/>
      <c r="M184" s="384"/>
      <c r="N184" s="384"/>
      <c r="O184" s="384"/>
      <c r="P184" s="384"/>
      <c r="Q184" s="384"/>
      <c r="R184" s="384"/>
      <c r="S184" s="384"/>
      <c r="T184" s="384"/>
      <c r="U184" s="384"/>
      <c r="V184" s="384"/>
      <c r="W184" s="384"/>
      <c r="X184" s="472">
        <v>430.77</v>
      </c>
      <c r="Y184" s="108" t="s">
        <v>45</v>
      </c>
      <c r="Z184" s="108">
        <f>W199/W189</f>
        <v>2208.3011238327485</v>
      </c>
    </row>
    <row r="185" spans="1:26" ht="48" hidden="1" customHeight="1" x14ac:dyDescent="0.35">
      <c r="A185" s="386" t="s">
        <v>74</v>
      </c>
      <c r="B185" s="387"/>
      <c r="C185" s="467"/>
      <c r="D185" s="467"/>
      <c r="E185" s="467"/>
      <c r="F185" s="467"/>
      <c r="G185" s="468" t="s">
        <v>70</v>
      </c>
      <c r="H185" s="391">
        <v>1.03</v>
      </c>
      <c r="I185" s="387"/>
      <c r="J185" s="387"/>
      <c r="K185" s="469" t="s">
        <v>71</v>
      </c>
      <c r="L185" s="391">
        <v>1.03</v>
      </c>
      <c r="M185" s="469" t="s">
        <v>72</v>
      </c>
      <c r="N185" s="391">
        <v>1.1100000000000001</v>
      </c>
      <c r="O185" s="469" t="s">
        <v>56</v>
      </c>
      <c r="P185" s="391">
        <v>1.0329999999999999</v>
      </c>
      <c r="Q185" s="387"/>
      <c r="R185" s="387"/>
      <c r="S185" s="387"/>
      <c r="T185" s="387"/>
      <c r="U185" s="387"/>
      <c r="V185" s="387"/>
      <c r="W185" s="387"/>
      <c r="X185" s="472">
        <f>R189-K189-D189</f>
        <v>0</v>
      </c>
      <c r="Y185" s="108"/>
      <c r="Z185" s="108"/>
    </row>
    <row r="186" spans="1:26" ht="49.5" hidden="1" customHeight="1" x14ac:dyDescent="0.35">
      <c r="A186" s="664" t="s">
        <v>1</v>
      </c>
      <c r="B186" s="666" t="s">
        <v>2</v>
      </c>
      <c r="C186" s="668"/>
      <c r="D186" s="689" t="s">
        <v>66</v>
      </c>
      <c r="E186" s="690"/>
      <c r="F186" s="690"/>
      <c r="G186" s="690"/>
      <c r="H186" s="690"/>
      <c r="I186" s="690"/>
      <c r="J186" s="691"/>
      <c r="K186" s="692" t="s">
        <v>67</v>
      </c>
      <c r="L186" s="693"/>
      <c r="M186" s="693"/>
      <c r="N186" s="693"/>
      <c r="O186" s="693"/>
      <c r="P186" s="693"/>
      <c r="Q186" s="694"/>
      <c r="R186" s="692">
        <v>2019</v>
      </c>
      <c r="S186" s="693"/>
      <c r="T186" s="693"/>
      <c r="U186" s="693"/>
      <c r="V186" s="693"/>
      <c r="W186" s="694"/>
      <c r="X186" s="472"/>
      <c r="Y186" s="108">
        <f>E189+L189</f>
        <v>848.69514872514719</v>
      </c>
      <c r="Z186" s="108">
        <f>F189+M189</f>
        <v>44.557873761754848</v>
      </c>
    </row>
    <row r="187" spans="1:26" ht="50.25" hidden="1" customHeight="1" x14ac:dyDescent="0.35">
      <c r="A187" s="665"/>
      <c r="B187" s="667"/>
      <c r="C187" s="669"/>
      <c r="D187" s="317" t="s">
        <v>5</v>
      </c>
      <c r="E187" s="318" t="s">
        <v>6</v>
      </c>
      <c r="F187" s="318" t="s">
        <v>7</v>
      </c>
      <c r="G187" s="318" t="s">
        <v>8</v>
      </c>
      <c r="H187" s="318" t="s">
        <v>9</v>
      </c>
      <c r="I187" s="319" t="s">
        <v>42</v>
      </c>
      <c r="J187" s="320" t="s">
        <v>43</v>
      </c>
      <c r="K187" s="317" t="s">
        <v>5</v>
      </c>
      <c r="L187" s="318" t="s">
        <v>6</v>
      </c>
      <c r="M187" s="318" t="s">
        <v>7</v>
      </c>
      <c r="N187" s="318" t="s">
        <v>8</v>
      </c>
      <c r="O187" s="318" t="s">
        <v>9</v>
      </c>
      <c r="P187" s="319" t="s">
        <v>42</v>
      </c>
      <c r="Q187" s="320" t="s">
        <v>43</v>
      </c>
      <c r="R187" s="321" t="s">
        <v>5</v>
      </c>
      <c r="S187" s="322" t="s">
        <v>6</v>
      </c>
      <c r="T187" s="322" t="s">
        <v>7</v>
      </c>
      <c r="U187" s="322" t="s">
        <v>8</v>
      </c>
      <c r="V187" s="322" t="s">
        <v>9</v>
      </c>
      <c r="W187" s="323" t="s">
        <v>43</v>
      </c>
      <c r="X187" s="472"/>
      <c r="Y187" s="108"/>
      <c r="Z187" s="108"/>
    </row>
    <row r="188" spans="1:26" ht="33.75" hidden="1" customHeight="1" x14ac:dyDescent="0.35">
      <c r="A188" s="397" t="s">
        <v>12</v>
      </c>
      <c r="B188" s="398" t="s">
        <v>13</v>
      </c>
      <c r="C188" s="399" t="s">
        <v>14</v>
      </c>
      <c r="D188" s="325">
        <f>E188+F188+G188+H188+I188</f>
        <v>423.12111943950526</v>
      </c>
      <c r="E188" s="326">
        <f>(E199-E189*E192)/(E190/1000*6)</f>
        <v>94.144493181483156</v>
      </c>
      <c r="F188" s="326">
        <f>(F199-F189*F192)/(F190/1000*6)</f>
        <v>7.2193716053072903</v>
      </c>
      <c r="G188" s="326">
        <f>(G199-G189*G192)/(G190/1000*6)</f>
        <v>109.50383427455</v>
      </c>
      <c r="H188" s="326">
        <f>(H199-H189*H192)/(H190/1000*6)</f>
        <v>56.115953711498214</v>
      </c>
      <c r="I188" s="681">
        <f>(I189+J189)/6*2</f>
        <v>156.13746666666665</v>
      </c>
      <c r="J188" s="682"/>
      <c r="K188" s="325">
        <f>L188+M188+N188+O188+P188</f>
        <v>438.41045704782994</v>
      </c>
      <c r="L188" s="326">
        <f>(L199-L189*L192)/(L190/1000*6)</f>
        <v>103.36863915468552</v>
      </c>
      <c r="M188" s="326">
        <f>(M199-M189*M192)/(M190/1000*6)</f>
        <v>6.9193035003417158</v>
      </c>
      <c r="N188" s="326">
        <f>(N199-N189*N192)/(N190/1000*6)</f>
        <v>111.39106583454172</v>
      </c>
      <c r="O188" s="326">
        <f>(O199-O189*O192)/(O190/1000*6)</f>
        <v>50.135615224927598</v>
      </c>
      <c r="P188" s="681">
        <f>(P189+Q189)/6*2</f>
        <v>166.59583333333333</v>
      </c>
      <c r="Q188" s="683"/>
      <c r="R188" s="327">
        <f t="shared" ref="R188:V188" si="84">(D188+K188)/2</f>
        <v>430.7657882436676</v>
      </c>
      <c r="S188" s="328">
        <f t="shared" si="84"/>
        <v>98.756566168084333</v>
      </c>
      <c r="T188" s="329">
        <f t="shared" si="84"/>
        <v>7.0693375528245035</v>
      </c>
      <c r="U188" s="330">
        <f t="shared" si="84"/>
        <v>110.44745005454587</v>
      </c>
      <c r="V188" s="330">
        <f t="shared" si="84"/>
        <v>53.125784468212906</v>
      </c>
      <c r="W188" s="331">
        <f>W189/6000*1000</f>
        <v>161.36664999999999</v>
      </c>
      <c r="X188" s="472">
        <v>2909.1437913821646</v>
      </c>
      <c r="Y188" s="108">
        <f>X188-R189</f>
        <v>12.094833856230252</v>
      </c>
      <c r="Z188" s="108">
        <f>Y188/6</f>
        <v>2.0158056427050419</v>
      </c>
    </row>
    <row r="189" spans="1:26" ht="33.75" hidden="1" customHeight="1" x14ac:dyDescent="0.25">
      <c r="A189" s="406" t="s">
        <v>15</v>
      </c>
      <c r="B189" s="407" t="s">
        <v>16</v>
      </c>
      <c r="C189" s="408" t="s">
        <v>17</v>
      </c>
      <c r="D189" s="325">
        <f>E189+F189+G189+H189+I189+J189</f>
        <v>1411.8806331209621</v>
      </c>
      <c r="E189" s="333">
        <f>E$110/($R$110-$W$110)*($R189-$W189)+50+60+1.2-50+3+9.7-5-15-10-5-5+15+20+20+8.2-20-20+20+12-20-8+20+15-10-10-10</f>
        <v>402.08229170400551</v>
      </c>
      <c r="F189" s="333">
        <f>F$110/($R$110-$W$110)*($R189-$W189)</f>
        <v>22.553667349912267</v>
      </c>
      <c r="G189" s="333">
        <f>G$110/($R$110-$W$110)*($R189-$W189)+30-50-60-1.2+50+2.8-3-9.7+15+10+5+5-15-20-20-8.2+20-20-12+10+10</f>
        <v>322.03932893053832</v>
      </c>
      <c r="H189" s="333">
        <f>H$110/($R$110-$W$110)*($R189-$W189)-60+0.2+5+20+20+8-20-15+10</f>
        <v>196.79294513650618</v>
      </c>
      <c r="I189" s="333">
        <v>287.20194744424606</v>
      </c>
      <c r="J189" s="333">
        <v>181.2104525557539</v>
      </c>
      <c r="K189" s="325">
        <f>L189+M189+N189+O189+P189+Q189</f>
        <v>1485.1683244049723</v>
      </c>
      <c r="L189" s="333">
        <f>L$110/($R$110-$W$110)*($R189-$W189)+10.4+80-30-1-1-0.5+1-5-10-10-10-5+30+30+10+1+10-20-10-10+20+20-20+20-0.5-0.5</f>
        <v>446.61285702114162</v>
      </c>
      <c r="M189" s="333">
        <f>M$110/($R$110-$W$110)*($R189-$W189)</f>
        <v>22.004206411842578</v>
      </c>
      <c r="N189" s="333">
        <f>N$110/($R$110-$W$110)*($R189-$W189)+90-0.4-80+30+1+1+0.5-1-3+10-30-30-1-10+10-20-20+20</f>
        <v>334.73238881887613</v>
      </c>
      <c r="O189" s="333">
        <f>O$110/($R$110-$W$110)*($R189-$W189)-70+5+10+10+5-10+20+10-20+0.5+0.5</f>
        <v>182.03137215311185</v>
      </c>
      <c r="P189" s="333">
        <v>316.17291177638822</v>
      </c>
      <c r="Q189" s="333">
        <v>183.61458822361183</v>
      </c>
      <c r="R189" s="334">
        <v>2897.0489575259344</v>
      </c>
      <c r="S189" s="335">
        <f>E189+L189</f>
        <v>848.69514872514719</v>
      </c>
      <c r="T189" s="333">
        <f>F189+M189</f>
        <v>44.557873761754848</v>
      </c>
      <c r="U189" s="333">
        <f>G189+N189</f>
        <v>656.77171774941439</v>
      </c>
      <c r="V189" s="333">
        <f>H189+O189</f>
        <v>378.82431728961802</v>
      </c>
      <c r="W189" s="336">
        <v>968.19989999999996</v>
      </c>
      <c r="X189" s="473"/>
      <c r="Y189" s="108"/>
      <c r="Z189" s="108"/>
    </row>
    <row r="190" spans="1:26" ht="33.75" hidden="1" customHeight="1" x14ac:dyDescent="0.25">
      <c r="A190" s="423" t="s">
        <v>18</v>
      </c>
      <c r="B190" s="424" t="s">
        <v>19</v>
      </c>
      <c r="C190" s="408" t="s">
        <v>20</v>
      </c>
      <c r="D190" s="338"/>
      <c r="E190" s="339">
        <f>E169</f>
        <v>618342.7840000001</v>
      </c>
      <c r="F190" s="339">
        <f>F169</f>
        <v>550174.31459999993</v>
      </c>
      <c r="G190" s="339">
        <f>G169</f>
        <v>802424.60030000005</v>
      </c>
      <c r="H190" s="339">
        <f>H169</f>
        <v>1191230.1847999999</v>
      </c>
      <c r="I190" s="339">
        <v>0</v>
      </c>
      <c r="J190" s="340"/>
      <c r="K190" s="338"/>
      <c r="L190" s="339">
        <f>E190*$L185</f>
        <v>636893.06752000016</v>
      </c>
      <c r="M190" s="339">
        <f>F190*$L185</f>
        <v>566679.54403799993</v>
      </c>
      <c r="N190" s="339">
        <f>G190*$L185</f>
        <v>826497.33830900013</v>
      </c>
      <c r="O190" s="339">
        <f>H190*$L185</f>
        <v>1226967.0903439999</v>
      </c>
      <c r="P190" s="339"/>
      <c r="Q190" s="341"/>
      <c r="R190" s="342"/>
      <c r="S190" s="333"/>
      <c r="T190" s="333"/>
      <c r="U190" s="333"/>
      <c r="V190" s="333"/>
      <c r="W190" s="343"/>
      <c r="X190" s="473"/>
      <c r="Y190" s="108"/>
      <c r="Z190" s="108"/>
    </row>
    <row r="191" spans="1:26" ht="33.75" hidden="1" customHeight="1" x14ac:dyDescent="0.25">
      <c r="A191" s="423"/>
      <c r="B191" s="424"/>
      <c r="C191" s="408"/>
      <c r="D191" s="338"/>
      <c r="E191" s="344"/>
      <c r="F191" s="344"/>
      <c r="G191" s="344"/>
      <c r="H191" s="344"/>
      <c r="I191" s="344"/>
      <c r="J191" s="344"/>
      <c r="K191" s="338"/>
      <c r="L191" s="344">
        <f>L190/E190*100</f>
        <v>103</v>
      </c>
      <c r="M191" s="344">
        <f>M190/F190*100</f>
        <v>103</v>
      </c>
      <c r="N191" s="344">
        <f>N190/G190*100</f>
        <v>103</v>
      </c>
      <c r="O191" s="344">
        <f>O190/H190*100</f>
        <v>103</v>
      </c>
      <c r="P191" s="339"/>
      <c r="Q191" s="345"/>
      <c r="R191" s="346"/>
      <c r="S191" s="347"/>
      <c r="T191" s="347"/>
      <c r="U191" s="347"/>
      <c r="V191" s="347"/>
      <c r="W191" s="343"/>
      <c r="X191" s="473"/>
      <c r="Y191" s="108"/>
      <c r="Z191" s="108"/>
    </row>
    <row r="192" spans="1:26" ht="33.75" hidden="1" customHeight="1" x14ac:dyDescent="0.25">
      <c r="A192" s="423" t="s">
        <v>21</v>
      </c>
      <c r="B192" s="337" t="s">
        <v>22</v>
      </c>
      <c r="C192" s="408" t="s">
        <v>23</v>
      </c>
      <c r="D192" s="338"/>
      <c r="E192" s="339">
        <f t="shared" ref="E192:J192" si="85">E171</f>
        <v>128.59549999999999</v>
      </c>
      <c r="F192" s="339">
        <f t="shared" si="85"/>
        <v>239.8664</v>
      </c>
      <c r="G192" s="339">
        <f t="shared" si="85"/>
        <v>449.78040000000004</v>
      </c>
      <c r="H192" s="339">
        <f t="shared" si="85"/>
        <v>895.31720000000007</v>
      </c>
      <c r="I192" s="339">
        <f t="shared" si="85"/>
        <v>2624.57</v>
      </c>
      <c r="J192" s="339">
        <f t="shared" si="85"/>
        <v>1421.18</v>
      </c>
      <c r="K192" s="338"/>
      <c r="L192" s="339">
        <f>E192*$N185</f>
        <v>142.741005</v>
      </c>
      <c r="M192" s="339">
        <f>F192*$N185</f>
        <v>266.25170400000002</v>
      </c>
      <c r="N192" s="339">
        <f>G192*$N185</f>
        <v>499.25624400000009</v>
      </c>
      <c r="O192" s="339">
        <f>H192*$N185</f>
        <v>993.80209200000013</v>
      </c>
      <c r="P192" s="339">
        <f>I192*$P185</f>
        <v>2711.1808099999998</v>
      </c>
      <c r="Q192" s="339">
        <f>J192*$P185</f>
        <v>1468.0789399999999</v>
      </c>
      <c r="R192" s="342"/>
      <c r="S192" s="333"/>
      <c r="T192" s="333"/>
      <c r="U192" s="333"/>
      <c r="V192" s="333"/>
      <c r="W192" s="343"/>
      <c r="X192" s="473"/>
      <c r="Y192" s="108"/>
      <c r="Z192" s="108"/>
    </row>
    <row r="193" spans="1:26" ht="33.75" hidden="1" customHeight="1" x14ac:dyDescent="0.25">
      <c r="A193" s="423"/>
      <c r="B193" s="424"/>
      <c r="C193" s="408" t="s">
        <v>23</v>
      </c>
      <c r="D193" s="338"/>
      <c r="E193" s="344"/>
      <c r="F193" s="344"/>
      <c r="G193" s="344"/>
      <c r="H193" s="344"/>
      <c r="I193" s="344"/>
      <c r="J193" s="344"/>
      <c r="K193" s="338"/>
      <c r="L193" s="344">
        <f t="shared" ref="L193:Q193" si="86">L192/E192*100</f>
        <v>111.00000000000001</v>
      </c>
      <c r="M193" s="344">
        <f t="shared" si="86"/>
        <v>111.00000000000001</v>
      </c>
      <c r="N193" s="344">
        <f t="shared" si="86"/>
        <v>111.00000000000001</v>
      </c>
      <c r="O193" s="344">
        <f t="shared" si="86"/>
        <v>111.00000000000001</v>
      </c>
      <c r="P193" s="344">
        <f t="shared" si="86"/>
        <v>103.3</v>
      </c>
      <c r="Q193" s="348">
        <f t="shared" si="86"/>
        <v>103.3</v>
      </c>
      <c r="R193" s="346"/>
      <c r="S193" s="347"/>
      <c r="T193" s="347"/>
      <c r="U193" s="347"/>
      <c r="V193" s="347"/>
      <c r="W193" s="343"/>
      <c r="X193" s="473"/>
      <c r="Y193" s="108"/>
      <c r="Z193" s="108"/>
    </row>
    <row r="194" spans="1:26" ht="33.75" hidden="1" customHeight="1" x14ac:dyDescent="0.25">
      <c r="A194" s="423" t="s">
        <v>25</v>
      </c>
      <c r="B194" s="424" t="s">
        <v>26</v>
      </c>
      <c r="C194" s="431"/>
      <c r="D194" s="349">
        <f>D199/D189</f>
        <v>1905.8804018954281</v>
      </c>
      <c r="E194" s="339">
        <f t="shared" ref="E194:J194" si="87">E173</f>
        <v>997.27690000000007</v>
      </c>
      <c r="F194" s="339">
        <f t="shared" si="87"/>
        <v>1296.5228</v>
      </c>
      <c r="G194" s="339">
        <f t="shared" si="87"/>
        <v>2086.8829999999998</v>
      </c>
      <c r="H194" s="339">
        <f t="shared" si="87"/>
        <v>2933.4090999999999</v>
      </c>
      <c r="I194" s="339">
        <f t="shared" si="87"/>
        <v>2624.57</v>
      </c>
      <c r="J194" s="339">
        <f t="shared" si="87"/>
        <v>1421.18</v>
      </c>
      <c r="K194" s="349">
        <f>K199/K189</f>
        <v>1942.1377453180221</v>
      </c>
      <c r="L194" s="339">
        <f>E194*$H185</f>
        <v>1027.1952070000002</v>
      </c>
      <c r="M194" s="339">
        <f>F194*$H185</f>
        <v>1335.418484</v>
      </c>
      <c r="N194" s="339">
        <f>G194*$H185</f>
        <v>2149.4894899999999</v>
      </c>
      <c r="O194" s="339">
        <f>H194*$H185</f>
        <v>3021.4113729999999</v>
      </c>
      <c r="P194" s="339">
        <f>P192</f>
        <v>2711.1808099999998</v>
      </c>
      <c r="Q194" s="339">
        <f>Q192</f>
        <v>1468.0789399999999</v>
      </c>
      <c r="R194" s="350">
        <f>R199/R189</f>
        <v>1924.4676811467582</v>
      </c>
      <c r="S194" s="351"/>
      <c r="T194" s="351"/>
      <c r="U194" s="351"/>
      <c r="V194" s="351"/>
      <c r="W194" s="352"/>
      <c r="X194" s="473"/>
      <c r="Y194" s="108"/>
      <c r="Z194" s="108"/>
    </row>
    <row r="195" spans="1:26" ht="33.75" hidden="1" customHeight="1" x14ac:dyDescent="0.25">
      <c r="A195" s="417"/>
      <c r="B195" s="434" t="s">
        <v>27</v>
      </c>
      <c r="C195" s="435"/>
      <c r="D195" s="354"/>
      <c r="E195" s="355"/>
      <c r="F195" s="355"/>
      <c r="G195" s="355"/>
      <c r="H195" s="355"/>
      <c r="I195" s="355"/>
      <c r="J195" s="356"/>
      <c r="K195" s="357">
        <f>K194/D194*100</f>
        <v>101.90239342335099</v>
      </c>
      <c r="L195" s="357">
        <f t="shared" ref="L195:Q195" si="88">L194/E194*100</f>
        <v>103.00000000000003</v>
      </c>
      <c r="M195" s="357">
        <f t="shared" si="88"/>
        <v>103</v>
      </c>
      <c r="N195" s="357">
        <f t="shared" si="88"/>
        <v>103</v>
      </c>
      <c r="O195" s="357">
        <f t="shared" si="88"/>
        <v>103</v>
      </c>
      <c r="P195" s="357">
        <f t="shared" si="88"/>
        <v>103.3</v>
      </c>
      <c r="Q195" s="358">
        <f t="shared" si="88"/>
        <v>103.3</v>
      </c>
      <c r="R195" s="359" t="e">
        <f>R194/#REF!*100</f>
        <v>#REF!</v>
      </c>
      <c r="S195" s="360"/>
      <c r="T195" s="360"/>
      <c r="U195" s="360"/>
      <c r="V195" s="360"/>
      <c r="W195" s="352"/>
      <c r="X195" s="473"/>
      <c r="Y195" s="108"/>
      <c r="Z195" s="108"/>
    </row>
    <row r="196" spans="1:26" ht="33.75" hidden="1" customHeight="1" x14ac:dyDescent="0.25">
      <c r="A196" s="439">
        <v>6</v>
      </c>
      <c r="B196" s="424" t="s">
        <v>28</v>
      </c>
      <c r="C196" s="408" t="s">
        <v>29</v>
      </c>
      <c r="D196" s="362">
        <f>SUM(E196:J196)</f>
        <v>2690875.6284809508</v>
      </c>
      <c r="E196" s="363">
        <f>E188*E190*6/1000+E189*E192</f>
        <v>400987.38141546637</v>
      </c>
      <c r="F196" s="363">
        <f>F188*F190*6/1000+F189*F192</f>
        <v>29241.343942776832</v>
      </c>
      <c r="G196" s="363">
        <f>G188*G190*6/1000+G189*G192</f>
        <v>672058.40087654837</v>
      </c>
      <c r="H196" s="363">
        <f>H188*H190*6/1000+H189*H192</f>
        <v>577274.21607922798</v>
      </c>
      <c r="I196" s="363">
        <f>I189*I192</f>
        <v>753781.61520374496</v>
      </c>
      <c r="J196" s="364">
        <f>J189*J192</f>
        <v>257532.67096318633</v>
      </c>
      <c r="K196" s="362">
        <f>SUM(L196:Q196)</f>
        <v>2884401.4609776177</v>
      </c>
      <c r="L196" s="363">
        <f>L188*L190*6/1000+L189*L192</f>
        <v>458758.58611669298</v>
      </c>
      <c r="M196" s="363">
        <f>M188*M190*6/1000+M189*M192</f>
        <v>29384.823968125893</v>
      </c>
      <c r="N196" s="363">
        <f>N188*N190*6/1000+N189*N192</f>
        <v>719503.75172876776</v>
      </c>
      <c r="O196" s="363">
        <f>O188*O190*6/1000+O189*O192</f>
        <v>549991.65806620766</v>
      </c>
      <c r="P196" s="363">
        <f>P189*P192</f>
        <v>857201.93104996672</v>
      </c>
      <c r="Q196" s="365">
        <f>Q189*Q192</f>
        <v>269560.7100478565</v>
      </c>
      <c r="R196" s="366">
        <f t="shared" ref="R196:V199" si="89">D196+K196</f>
        <v>5575277.089458568</v>
      </c>
      <c r="S196" s="367">
        <f t="shared" si="89"/>
        <v>859745.96753215929</v>
      </c>
      <c r="T196" s="367">
        <f t="shared" si="89"/>
        <v>58626.167910902725</v>
      </c>
      <c r="U196" s="367">
        <f t="shared" si="89"/>
        <v>1391562.1526053161</v>
      </c>
      <c r="V196" s="367">
        <f t="shared" si="89"/>
        <v>1127265.8741454356</v>
      </c>
      <c r="W196" s="368">
        <f>I196+P196+J196+Q196</f>
        <v>2138076.9272647547</v>
      </c>
      <c r="X196" s="384"/>
      <c r="Y196" s="108"/>
      <c r="Z196" s="108"/>
    </row>
    <row r="197" spans="1:26" ht="33.75" hidden="1" customHeight="1" x14ac:dyDescent="0.25">
      <c r="A197" s="445"/>
      <c r="B197" s="446" t="s">
        <v>46</v>
      </c>
      <c r="C197" s="447"/>
      <c r="D197" s="370">
        <f>SUM(E197:J197)</f>
        <v>1893343.0229293481</v>
      </c>
      <c r="E197" s="371">
        <f>E196-E198</f>
        <v>349281.40807264391</v>
      </c>
      <c r="F197" s="371">
        <f t="shared" ref="F197:J197" si="90">F196-F198</f>
        <v>23831.476948755837</v>
      </c>
      <c r="G197" s="371">
        <f t="shared" si="90"/>
        <v>527211.4226944393</v>
      </c>
      <c r="H197" s="371">
        <f t="shared" si="90"/>
        <v>401082.10745985759</v>
      </c>
      <c r="I197" s="371">
        <f t="shared" si="90"/>
        <v>496644.7717834154</v>
      </c>
      <c r="J197" s="372">
        <f t="shared" si="90"/>
        <v>95291.835970235901</v>
      </c>
      <c r="K197" s="370">
        <f>SUM(L197:Q197)</f>
        <v>1970082.5787704748</v>
      </c>
      <c r="L197" s="371">
        <f>L196-L198</f>
        <v>395008.61805957393</v>
      </c>
      <c r="M197" s="371">
        <f t="shared" ref="M197:Q197" si="91">M196-M198</f>
        <v>23526.166515805082</v>
      </c>
      <c r="N197" s="371">
        <f t="shared" si="91"/>
        <v>552386.51654190803</v>
      </c>
      <c r="O197" s="371">
        <f t="shared" si="91"/>
        <v>369088.4996108145</v>
      </c>
      <c r="P197" s="371">
        <f t="shared" si="91"/>
        <v>542988.62989286066</v>
      </c>
      <c r="Q197" s="373">
        <f t="shared" si="91"/>
        <v>87084.148149512475</v>
      </c>
      <c r="R197" s="366">
        <f t="shared" si="89"/>
        <v>3863425.6016998226</v>
      </c>
      <c r="S197" s="367">
        <f t="shared" si="89"/>
        <v>744290.02613221784</v>
      </c>
      <c r="T197" s="367">
        <f t="shared" si="89"/>
        <v>47357.643464560919</v>
      </c>
      <c r="U197" s="367">
        <f t="shared" si="89"/>
        <v>1079597.9392363473</v>
      </c>
      <c r="V197" s="367">
        <f t="shared" si="89"/>
        <v>770170.60707067209</v>
      </c>
      <c r="W197" s="368"/>
      <c r="X197" s="384"/>
    </row>
    <row r="198" spans="1:26" ht="33.75" hidden="1" customHeight="1" x14ac:dyDescent="0.25">
      <c r="A198" s="445"/>
      <c r="B198" s="446" t="s">
        <v>47</v>
      </c>
      <c r="C198" s="447"/>
      <c r="D198" s="370">
        <f>SUM(E198:J198)</f>
        <v>797532.6055516029</v>
      </c>
      <c r="E198" s="371">
        <f>E189*E192</f>
        <v>51705.973342822435</v>
      </c>
      <c r="F198" s="371">
        <f>F189*F192</f>
        <v>5409.8669940209957</v>
      </c>
      <c r="G198" s="371">
        <f>G189*G192</f>
        <v>144846.9781821091</v>
      </c>
      <c r="H198" s="371">
        <f>H189*H192</f>
        <v>176192.10861937035</v>
      </c>
      <c r="I198" s="371">
        <f>I189*H192</f>
        <v>257136.84342032956</v>
      </c>
      <c r="J198" s="372">
        <f>J189*H192</f>
        <v>162240.83499295043</v>
      </c>
      <c r="K198" s="374">
        <f>SUM(L198:Q198)</f>
        <v>914318.88220714289</v>
      </c>
      <c r="L198" s="371">
        <f>L189*L192</f>
        <v>63749.968057119062</v>
      </c>
      <c r="M198" s="371">
        <f>M189*M192</f>
        <v>5858.6574523208128</v>
      </c>
      <c r="N198" s="371">
        <f>N189*N192</f>
        <v>167117.23518685973</v>
      </c>
      <c r="O198" s="371">
        <f>O189*O192</f>
        <v>180903.15845539313</v>
      </c>
      <c r="P198" s="371">
        <f>P189*O192</f>
        <v>314213.30115710606</v>
      </c>
      <c r="Q198" s="373">
        <f>Q189*O192</f>
        <v>182476.56189834402</v>
      </c>
      <c r="R198" s="366">
        <f t="shared" si="89"/>
        <v>1711851.4877587459</v>
      </c>
      <c r="S198" s="367">
        <f t="shared" si="89"/>
        <v>115455.9413999415</v>
      </c>
      <c r="T198" s="367">
        <f t="shared" si="89"/>
        <v>11268.524446341809</v>
      </c>
      <c r="U198" s="367">
        <f t="shared" si="89"/>
        <v>311964.21336896881</v>
      </c>
      <c r="V198" s="367">
        <f t="shared" si="89"/>
        <v>357095.26707476348</v>
      </c>
      <c r="W198" s="368"/>
      <c r="X198" s="384"/>
    </row>
    <row r="199" spans="1:26" ht="33.75" hidden="1" customHeight="1" x14ac:dyDescent="0.25">
      <c r="A199" s="451">
        <v>7</v>
      </c>
      <c r="B199" s="452" t="s">
        <v>30</v>
      </c>
      <c r="C199" s="453" t="s">
        <v>29</v>
      </c>
      <c r="D199" s="376">
        <f>SUM(E199:J199)</f>
        <v>2690875.6284809508</v>
      </c>
      <c r="E199" s="377">
        <f t="shared" ref="E199:J199" si="92">E189*E194</f>
        <v>400987.38141546637</v>
      </c>
      <c r="F199" s="377">
        <f t="shared" si="92"/>
        <v>29241.343942776832</v>
      </c>
      <c r="G199" s="377">
        <f t="shared" si="92"/>
        <v>672058.40087654849</v>
      </c>
      <c r="H199" s="377">
        <f t="shared" si="92"/>
        <v>577274.21607922798</v>
      </c>
      <c r="I199" s="377">
        <f t="shared" si="92"/>
        <v>753781.61520374496</v>
      </c>
      <c r="J199" s="378">
        <f t="shared" si="92"/>
        <v>257532.67096318633</v>
      </c>
      <c r="K199" s="379">
        <f>SUM(L199:Q199)</f>
        <v>2884401.4609776177</v>
      </c>
      <c r="L199" s="377">
        <f t="shared" ref="L199:Q199" si="93">L189*L194</f>
        <v>458758.58611669304</v>
      </c>
      <c r="M199" s="377">
        <f t="shared" si="93"/>
        <v>29384.823968125896</v>
      </c>
      <c r="N199" s="377">
        <f t="shared" si="93"/>
        <v>719503.75172876776</v>
      </c>
      <c r="O199" s="377">
        <f t="shared" si="93"/>
        <v>549991.65806620766</v>
      </c>
      <c r="P199" s="377">
        <f t="shared" si="93"/>
        <v>857201.93104996672</v>
      </c>
      <c r="Q199" s="380">
        <f t="shared" si="93"/>
        <v>269560.7100478565</v>
      </c>
      <c r="R199" s="381">
        <f t="shared" si="89"/>
        <v>5575277.089458568</v>
      </c>
      <c r="S199" s="382">
        <f t="shared" si="89"/>
        <v>859745.96753215941</v>
      </c>
      <c r="T199" s="382">
        <f t="shared" si="89"/>
        <v>58626.167910902732</v>
      </c>
      <c r="U199" s="382">
        <f t="shared" si="89"/>
        <v>1391562.1526053161</v>
      </c>
      <c r="V199" s="382">
        <f t="shared" si="89"/>
        <v>1127265.8741454356</v>
      </c>
      <c r="W199" s="383">
        <f>I199+P199+J199+Q199</f>
        <v>2138076.9272647547</v>
      </c>
      <c r="X199" s="384"/>
    </row>
    <row r="200" spans="1:26" ht="15.75" hidden="1" customHeight="1" x14ac:dyDescent="0.3">
      <c r="A200" s="461"/>
      <c r="B200" s="462" t="s">
        <v>32</v>
      </c>
      <c r="C200" s="461"/>
      <c r="D200" s="463">
        <f>D196-D199</f>
        <v>0</v>
      </c>
      <c r="E200" s="463">
        <f>E196-E199</f>
        <v>0</v>
      </c>
      <c r="F200" s="463">
        <f t="shared" ref="F200:W200" si="94">F196-F199</f>
        <v>0</v>
      </c>
      <c r="G200" s="463">
        <f t="shared" si="94"/>
        <v>0</v>
      </c>
      <c r="H200" s="463">
        <f t="shared" si="94"/>
        <v>0</v>
      </c>
      <c r="I200" s="463">
        <f t="shared" si="94"/>
        <v>0</v>
      </c>
      <c r="J200" s="463">
        <f t="shared" si="94"/>
        <v>0</v>
      </c>
      <c r="K200" s="463">
        <f t="shared" si="94"/>
        <v>0</v>
      </c>
      <c r="L200" s="463">
        <f t="shared" si="94"/>
        <v>0</v>
      </c>
      <c r="M200" s="463">
        <f t="shared" si="94"/>
        <v>0</v>
      </c>
      <c r="N200" s="463">
        <f t="shared" si="94"/>
        <v>0</v>
      </c>
      <c r="O200" s="463">
        <f t="shared" si="94"/>
        <v>0</v>
      </c>
      <c r="P200" s="463">
        <f t="shared" si="94"/>
        <v>0</v>
      </c>
      <c r="Q200" s="463">
        <f t="shared" si="94"/>
        <v>0</v>
      </c>
      <c r="R200" s="463">
        <f t="shared" si="94"/>
        <v>0</v>
      </c>
      <c r="S200" s="463">
        <f t="shared" si="94"/>
        <v>0</v>
      </c>
      <c r="T200" s="463">
        <f t="shared" si="94"/>
        <v>0</v>
      </c>
      <c r="U200" s="463">
        <f t="shared" si="94"/>
        <v>0</v>
      </c>
      <c r="V200" s="463">
        <f t="shared" si="94"/>
        <v>0</v>
      </c>
      <c r="W200" s="463">
        <f t="shared" si="94"/>
        <v>0</v>
      </c>
      <c r="X200" s="464"/>
      <c r="Y200" s="470"/>
      <c r="Z200" s="470"/>
    </row>
    <row r="201" spans="1:26" hidden="1" x14ac:dyDescent="0.25">
      <c r="A201" s="384"/>
      <c r="B201" s="384"/>
      <c r="C201" s="384"/>
      <c r="D201" s="384"/>
      <c r="E201" s="384"/>
      <c r="F201" s="384"/>
      <c r="G201" s="384"/>
      <c r="H201" s="384"/>
      <c r="I201" s="384"/>
      <c r="J201" s="384"/>
      <c r="K201" s="384"/>
      <c r="L201" s="384"/>
      <c r="M201" s="384"/>
      <c r="N201" s="384"/>
      <c r="O201" s="384"/>
      <c r="P201" s="384"/>
      <c r="Q201" s="384"/>
      <c r="R201" s="384"/>
      <c r="S201" s="384"/>
      <c r="T201" s="384"/>
      <c r="U201" s="384"/>
      <c r="V201" s="384"/>
      <c r="W201" s="384"/>
      <c r="X201" s="384"/>
      <c r="Y201" s="471"/>
      <c r="Z201" s="471"/>
    </row>
    <row r="202" spans="1:26" ht="33" hidden="1" customHeight="1" x14ac:dyDescent="0.25">
      <c r="A202" s="384"/>
      <c r="B202" s="384" t="s">
        <v>75</v>
      </c>
      <c r="C202" s="384"/>
      <c r="D202" s="384"/>
      <c r="E202" s="384"/>
      <c r="F202" s="384"/>
      <c r="G202" s="384"/>
      <c r="H202" s="384"/>
      <c r="I202" s="384"/>
      <c r="J202" s="384"/>
      <c r="K202" s="384"/>
      <c r="L202" s="384"/>
      <c r="M202" s="384"/>
      <c r="N202" s="384"/>
      <c r="O202" s="384"/>
      <c r="P202" s="384"/>
      <c r="Q202" s="384"/>
      <c r="R202" s="384"/>
      <c r="S202" s="384"/>
      <c r="T202" s="384"/>
      <c r="U202" s="384"/>
      <c r="V202" s="384"/>
      <c r="W202" s="384"/>
      <c r="X202" s="384"/>
    </row>
    <row r="203" spans="1:26" ht="24" hidden="1" customHeight="1" x14ac:dyDescent="0.25">
      <c r="A203" s="384"/>
      <c r="B203" s="384"/>
      <c r="C203" s="384"/>
      <c r="D203" s="384"/>
      <c r="E203" s="384"/>
      <c r="F203" s="384"/>
      <c r="G203" s="384"/>
      <c r="H203" s="384"/>
      <c r="I203" s="384"/>
      <c r="J203" s="384"/>
      <c r="K203" s="384"/>
      <c r="L203" s="384"/>
      <c r="M203" s="384"/>
      <c r="N203" s="384"/>
      <c r="O203" s="384"/>
      <c r="P203" s="384"/>
      <c r="Q203" s="384"/>
      <c r="R203" s="384"/>
      <c r="S203" s="384"/>
      <c r="T203" s="384"/>
      <c r="U203" s="384"/>
      <c r="V203" s="384"/>
      <c r="W203" s="384"/>
      <c r="X203" s="384"/>
    </row>
    <row r="204" spans="1:26" s="470" customFormat="1" ht="28.5" hidden="1" customHeight="1" x14ac:dyDescent="0.35">
      <c r="A204" s="464"/>
      <c r="B204" s="385" t="s">
        <v>68</v>
      </c>
      <c r="C204" s="464"/>
      <c r="D204" s="464"/>
      <c r="E204" s="465" t="e">
        <f>#REF!/$D$110</f>
        <v>#REF!</v>
      </c>
      <c r="F204" s="465" t="e">
        <f>#REF!/$D$110</f>
        <v>#REF!</v>
      </c>
      <c r="G204" s="465" t="e">
        <f>#REF!/$D$110</f>
        <v>#REF!</v>
      </c>
      <c r="H204" s="465" t="e">
        <f>#REF!/$D$110</f>
        <v>#REF!</v>
      </c>
      <c r="I204" s="465" t="e">
        <f>#REF!/$D$110</f>
        <v>#REF!</v>
      </c>
      <c r="J204" s="465" t="e">
        <f>#REF!/$D$110</f>
        <v>#REF!</v>
      </c>
      <c r="K204" s="464"/>
      <c r="L204" s="465" t="e">
        <f>#REF!/$K$110</f>
        <v>#REF!</v>
      </c>
      <c r="M204" s="465" t="e">
        <f>#REF!/$K$110</f>
        <v>#REF!</v>
      </c>
      <c r="N204" s="465" t="e">
        <f>#REF!/$K$110</f>
        <v>#REF!</v>
      </c>
      <c r="O204" s="465" t="e">
        <f>#REF!/$K$110</f>
        <v>#REF!</v>
      </c>
      <c r="P204" s="465" t="e">
        <f>#REF!/$K$110</f>
        <v>#REF!</v>
      </c>
      <c r="Q204" s="465" t="e">
        <f>#REF!/$K$110</f>
        <v>#REF!</v>
      </c>
      <c r="R204" s="464"/>
      <c r="S204" s="464"/>
      <c r="T204" s="464"/>
      <c r="U204" s="464"/>
      <c r="V204" s="464"/>
      <c r="W204" s="464"/>
      <c r="X204" s="384"/>
      <c r="Y204"/>
      <c r="Z204"/>
    </row>
    <row r="205" spans="1:26" s="471" customFormat="1" ht="28.5" hidden="1" customHeight="1" x14ac:dyDescent="0.35">
      <c r="A205" s="384"/>
      <c r="B205" s="385" t="s">
        <v>69</v>
      </c>
      <c r="C205" s="384"/>
      <c r="D205" s="384"/>
      <c r="E205" s="465" t="e">
        <f>E189/#REF!</f>
        <v>#REF!</v>
      </c>
      <c r="F205" s="465" t="e">
        <f>F189/#REF!</f>
        <v>#REF!</v>
      </c>
      <c r="G205" s="465" t="e">
        <f>G189/#REF!</f>
        <v>#REF!</v>
      </c>
      <c r="H205" s="465" t="e">
        <f>H189/#REF!</f>
        <v>#REF!</v>
      </c>
      <c r="I205" s="465" t="e">
        <f>I189/#REF!</f>
        <v>#REF!</v>
      </c>
      <c r="J205" s="465" t="e">
        <f>J189/#REF!</f>
        <v>#REF!</v>
      </c>
      <c r="K205" s="384"/>
      <c r="L205" s="465" t="e">
        <f>L189/#REF!</f>
        <v>#REF!</v>
      </c>
      <c r="M205" s="465" t="e">
        <f>M189/#REF!</f>
        <v>#REF!</v>
      </c>
      <c r="N205" s="465" t="e">
        <f>N189/#REF!</f>
        <v>#REF!</v>
      </c>
      <c r="O205" s="465" t="e">
        <f>O189/#REF!</f>
        <v>#REF!</v>
      </c>
      <c r="P205" s="465" t="e">
        <f>P189/#REF!</f>
        <v>#REF!</v>
      </c>
      <c r="Q205" s="465" t="e">
        <f>Q189/#REF!</f>
        <v>#REF!</v>
      </c>
      <c r="R205" s="384"/>
      <c r="S205" s="384"/>
      <c r="T205" s="384"/>
      <c r="U205" s="384"/>
      <c r="V205" s="384"/>
      <c r="W205" s="384"/>
      <c r="X205" s="384"/>
      <c r="Y205"/>
      <c r="Z205"/>
    </row>
    <row r="206" spans="1:26" hidden="1" x14ac:dyDescent="0.25">
      <c r="A206" s="384"/>
      <c r="B206" s="384"/>
      <c r="C206" s="384"/>
      <c r="D206" s="384"/>
      <c r="E206" s="384"/>
      <c r="F206" s="384"/>
      <c r="G206" s="384"/>
      <c r="H206" s="384"/>
      <c r="I206" s="384"/>
      <c r="J206" s="384"/>
      <c r="K206" s="384"/>
      <c r="L206" s="384"/>
      <c r="M206" s="384"/>
      <c r="N206" s="384"/>
      <c r="O206" s="384"/>
      <c r="P206" s="384"/>
      <c r="Q206" s="384"/>
      <c r="R206" s="384"/>
      <c r="S206" s="384"/>
      <c r="T206" s="384"/>
      <c r="U206" s="384"/>
      <c r="V206" s="384"/>
      <c r="W206" s="384"/>
      <c r="X206" s="384"/>
    </row>
    <row r="207" spans="1:26" hidden="1" x14ac:dyDescent="0.25">
      <c r="A207" s="384"/>
      <c r="B207" s="384"/>
      <c r="C207" s="384"/>
      <c r="D207" s="384"/>
      <c r="E207" s="384"/>
      <c r="F207" s="384"/>
      <c r="G207" s="384"/>
      <c r="H207" s="384"/>
      <c r="I207" s="384"/>
      <c r="J207" s="384"/>
      <c r="K207" s="384"/>
      <c r="L207" s="384"/>
      <c r="M207" s="384"/>
      <c r="N207" s="384"/>
      <c r="O207" s="384"/>
      <c r="P207" s="384"/>
      <c r="Q207" s="384"/>
      <c r="R207" s="384"/>
      <c r="S207" s="384"/>
      <c r="T207" s="384"/>
      <c r="U207" s="384"/>
      <c r="V207" s="384"/>
      <c r="W207" s="384"/>
      <c r="X207" s="384"/>
    </row>
    <row r="208" spans="1:26" ht="34.5" hidden="1" customHeight="1" x14ac:dyDescent="0.35">
      <c r="A208" s="385"/>
      <c r="B208" s="474"/>
      <c r="C208" s="475" t="s">
        <v>6</v>
      </c>
      <c r="D208" s="475" t="s">
        <v>7</v>
      </c>
      <c r="E208" s="475" t="s">
        <v>8</v>
      </c>
      <c r="F208" s="475" t="s">
        <v>9</v>
      </c>
      <c r="G208" s="475" t="s">
        <v>76</v>
      </c>
      <c r="H208" s="475" t="s">
        <v>77</v>
      </c>
      <c r="I208" s="385"/>
      <c r="J208" s="476">
        <f>I189+J189</f>
        <v>468.41239999999993</v>
      </c>
      <c r="K208" s="384"/>
      <c r="L208" s="384"/>
      <c r="M208" s="384"/>
      <c r="N208" s="384"/>
      <c r="O208" s="384"/>
      <c r="P208" s="384"/>
      <c r="Q208" s="476">
        <f>P189+Q189</f>
        <v>499.78750000000002</v>
      </c>
      <c r="R208" s="384"/>
      <c r="S208" s="384"/>
      <c r="T208" s="384"/>
      <c r="U208" s="384"/>
      <c r="V208" s="384"/>
      <c r="W208" s="384"/>
      <c r="X208" s="384"/>
    </row>
    <row r="209" spans="1:26" ht="30" hidden="1" customHeight="1" x14ac:dyDescent="0.35">
      <c r="A209" s="385"/>
      <c r="B209" s="474" t="s">
        <v>75</v>
      </c>
      <c r="C209" s="477">
        <v>658.85562200000004</v>
      </c>
      <c r="D209" s="477">
        <v>47.594371000000002</v>
      </c>
      <c r="E209" s="477">
        <v>844.42227500000001</v>
      </c>
      <c r="F209" s="477">
        <v>308.96007200000003</v>
      </c>
      <c r="G209" s="477">
        <v>930.33436600000005</v>
      </c>
      <c r="H209" s="478">
        <f>C209+D209+E209+F209+G209</f>
        <v>2790.166706</v>
      </c>
      <c r="I209" s="385"/>
      <c r="J209" s="385"/>
      <c r="K209" s="384"/>
      <c r="L209" s="384"/>
      <c r="M209" s="384"/>
      <c r="N209" s="384"/>
      <c r="O209" s="384"/>
      <c r="P209" s="384"/>
      <c r="Q209" s="384"/>
      <c r="R209" s="384"/>
      <c r="S209" s="384"/>
      <c r="T209" s="384"/>
      <c r="U209" s="384"/>
      <c r="V209" s="384"/>
      <c r="W209" s="384"/>
      <c r="X209" s="384"/>
    </row>
    <row r="210" spans="1:26" ht="30" hidden="1" customHeight="1" x14ac:dyDescent="0.35">
      <c r="A210" s="385"/>
      <c r="B210" s="474" t="s">
        <v>78</v>
      </c>
      <c r="C210" s="477">
        <v>675.74582595340996</v>
      </c>
      <c r="D210" s="477">
        <v>44.039799410613142</v>
      </c>
      <c r="E210" s="477">
        <v>742.240170380726</v>
      </c>
      <c r="F210" s="477">
        <v>444.39653582762901</v>
      </c>
      <c r="G210" s="477">
        <v>906.93979999999999</v>
      </c>
      <c r="H210" s="478">
        <f t="shared" ref="H210:H211" si="95">C210+D210+E210+F210+G210</f>
        <v>2813.3621315723781</v>
      </c>
      <c r="I210" s="385"/>
      <c r="J210" s="385"/>
      <c r="K210" s="384">
        <v>156.13746666666665</v>
      </c>
      <c r="L210" s="384">
        <v>166.59583333333333</v>
      </c>
      <c r="M210" s="384"/>
      <c r="N210" s="384"/>
      <c r="O210" s="384"/>
      <c r="P210" s="384"/>
      <c r="Q210" s="384"/>
      <c r="R210" s="384"/>
      <c r="S210" s="384"/>
      <c r="T210" s="384"/>
      <c r="U210" s="384"/>
      <c r="V210" s="384"/>
      <c r="W210" s="384"/>
      <c r="X210" s="384"/>
    </row>
    <row r="211" spans="1:26" ht="30" hidden="1" customHeight="1" x14ac:dyDescent="0.35">
      <c r="A211" s="385"/>
      <c r="B211" s="474" t="s">
        <v>79</v>
      </c>
      <c r="C211" s="477">
        <f>E189+L189</f>
        <v>848.69514872514719</v>
      </c>
      <c r="D211" s="477">
        <f>F189+M189</f>
        <v>44.557873761754848</v>
      </c>
      <c r="E211" s="477">
        <f>G189+N189</f>
        <v>656.77171774941439</v>
      </c>
      <c r="F211" s="477">
        <f>H189+O189</f>
        <v>378.82431728961802</v>
      </c>
      <c r="G211" s="477">
        <f>I189+J189+P189+Q189</f>
        <v>968.19989999999996</v>
      </c>
      <c r="H211" s="478">
        <f t="shared" si="95"/>
        <v>2897.0489575259344</v>
      </c>
      <c r="I211" s="385"/>
      <c r="J211" s="385"/>
      <c r="K211" s="384"/>
      <c r="L211" s="384"/>
      <c r="M211" s="384"/>
      <c r="N211" s="384"/>
      <c r="O211" s="384"/>
      <c r="P211" s="384"/>
      <c r="Q211" s="384"/>
      <c r="R211" s="384"/>
      <c r="S211" s="384"/>
      <c r="T211" s="384"/>
      <c r="U211" s="384"/>
      <c r="V211" s="384"/>
      <c r="W211" s="384"/>
      <c r="X211" s="384"/>
    </row>
    <row r="212" spans="1:26" ht="21" hidden="1" x14ac:dyDescent="0.35">
      <c r="A212" s="385"/>
      <c r="B212" s="385"/>
      <c r="C212" s="385"/>
      <c r="D212" s="385"/>
      <c r="E212" s="385"/>
      <c r="F212" s="385"/>
      <c r="G212" s="385"/>
      <c r="H212" s="385"/>
      <c r="I212" s="385"/>
      <c r="J212" s="385"/>
      <c r="K212" s="384"/>
      <c r="L212" s="384"/>
      <c r="M212" s="384"/>
      <c r="N212" s="384"/>
      <c r="O212" s="384"/>
      <c r="P212" s="384"/>
      <c r="Q212" s="384"/>
      <c r="R212" s="384"/>
      <c r="S212" s="384"/>
      <c r="T212" s="384"/>
      <c r="U212" s="384"/>
      <c r="V212" s="384"/>
      <c r="W212" s="384"/>
      <c r="X212" s="384"/>
      <c r="Y212" s="108" t="s">
        <v>44</v>
      </c>
      <c r="Z212" s="108">
        <f>(R229-W229)/(R218-W218)</f>
        <v>1765.286850485792</v>
      </c>
    </row>
    <row r="213" spans="1:26" ht="21" hidden="1" x14ac:dyDescent="0.35">
      <c r="A213" s="385"/>
      <c r="B213" s="385"/>
      <c r="C213" s="385"/>
      <c r="D213" s="385"/>
      <c r="E213" s="385"/>
      <c r="F213" s="385"/>
      <c r="G213" s="385"/>
      <c r="H213" s="385"/>
      <c r="I213" s="385"/>
      <c r="J213" s="385"/>
      <c r="K213" s="384"/>
      <c r="L213" s="384"/>
      <c r="M213" s="384"/>
      <c r="N213" s="384"/>
      <c r="O213" s="384"/>
      <c r="P213" s="384"/>
      <c r="Q213" s="384"/>
      <c r="R213" s="384"/>
      <c r="S213" s="384"/>
      <c r="T213" s="384"/>
      <c r="U213" s="384"/>
      <c r="V213" s="384"/>
      <c r="W213" s="384"/>
      <c r="X213" s="405">
        <v>430.77</v>
      </c>
      <c r="Y213" s="108" t="s">
        <v>45</v>
      </c>
      <c r="Z213" s="108">
        <f>W229/W218</f>
        <v>2204.9213445550831</v>
      </c>
    </row>
    <row r="214" spans="1:26" ht="48" hidden="1" customHeight="1" x14ac:dyDescent="0.35">
      <c r="A214" s="386" t="s">
        <v>80</v>
      </c>
      <c r="B214" s="387"/>
      <c r="C214" s="467"/>
      <c r="D214" s="467"/>
      <c r="E214" s="467"/>
      <c r="F214" s="467"/>
      <c r="G214" s="479" t="s">
        <v>70</v>
      </c>
      <c r="H214" s="389"/>
      <c r="I214" s="387"/>
      <c r="J214" s="387"/>
      <c r="K214" s="480" t="s">
        <v>71</v>
      </c>
      <c r="L214" s="389">
        <v>1.02</v>
      </c>
      <c r="M214" s="480" t="s">
        <v>72</v>
      </c>
      <c r="N214" s="389">
        <v>1.06</v>
      </c>
      <c r="O214" s="469" t="s">
        <v>56</v>
      </c>
      <c r="P214" s="391">
        <v>1.03</v>
      </c>
      <c r="Q214" s="387"/>
      <c r="R214" s="387"/>
      <c r="S214" s="387"/>
      <c r="T214" s="387"/>
      <c r="U214" s="387"/>
      <c r="V214" s="387"/>
      <c r="W214" s="387"/>
      <c r="X214" s="405">
        <f>R218-K218-D218</f>
        <v>0</v>
      </c>
      <c r="Y214" s="108"/>
      <c r="Z214" s="108"/>
    </row>
    <row r="215" spans="1:26" ht="21.75" hidden="1" thickBot="1" x14ac:dyDescent="0.4">
      <c r="A215" s="664" t="s">
        <v>1</v>
      </c>
      <c r="B215" s="685" t="s">
        <v>2</v>
      </c>
      <c r="C215" s="668"/>
      <c r="D215" s="677" t="s">
        <v>66</v>
      </c>
      <c r="E215" s="678"/>
      <c r="F215" s="678"/>
      <c r="G215" s="678"/>
      <c r="H215" s="678"/>
      <c r="I215" s="678"/>
      <c r="J215" s="679"/>
      <c r="K215" s="659" t="s">
        <v>67</v>
      </c>
      <c r="L215" s="660"/>
      <c r="M215" s="660"/>
      <c r="N215" s="660"/>
      <c r="O215" s="660"/>
      <c r="P215" s="660"/>
      <c r="Q215" s="680"/>
      <c r="R215" s="659">
        <v>2019</v>
      </c>
      <c r="S215" s="660"/>
      <c r="T215" s="660"/>
      <c r="U215" s="660"/>
      <c r="V215" s="660"/>
      <c r="W215" s="661"/>
      <c r="X215" s="405"/>
      <c r="Y215" s="108"/>
      <c r="Z215" s="108"/>
    </row>
    <row r="216" spans="1:26" ht="32.25" hidden="1" customHeight="1" x14ac:dyDescent="0.35">
      <c r="A216" s="665"/>
      <c r="B216" s="686"/>
      <c r="C216" s="669"/>
      <c r="D216" s="392" t="s">
        <v>5</v>
      </c>
      <c r="E216" s="393" t="s">
        <v>6</v>
      </c>
      <c r="F216" s="393" t="s">
        <v>7</v>
      </c>
      <c r="G216" s="393" t="s">
        <v>8</v>
      </c>
      <c r="H216" s="393" t="s">
        <v>9</v>
      </c>
      <c r="I216" s="394" t="s">
        <v>42</v>
      </c>
      <c r="J216" s="395" t="s">
        <v>43</v>
      </c>
      <c r="K216" s="392" t="s">
        <v>5</v>
      </c>
      <c r="L216" s="393" t="s">
        <v>6</v>
      </c>
      <c r="M216" s="393" t="s">
        <v>7</v>
      </c>
      <c r="N216" s="393" t="s">
        <v>8</v>
      </c>
      <c r="O216" s="393" t="s">
        <v>9</v>
      </c>
      <c r="P216" s="394" t="s">
        <v>42</v>
      </c>
      <c r="Q216" s="395" t="s">
        <v>43</v>
      </c>
      <c r="R216" s="392" t="s">
        <v>5</v>
      </c>
      <c r="S216" s="393" t="s">
        <v>6</v>
      </c>
      <c r="T216" s="393" t="s">
        <v>7</v>
      </c>
      <c r="U216" s="393" t="s">
        <v>8</v>
      </c>
      <c r="V216" s="393" t="s">
        <v>9</v>
      </c>
      <c r="W216" s="396" t="s">
        <v>43</v>
      </c>
      <c r="X216" s="405"/>
      <c r="Y216" s="108">
        <f>E218+L218</f>
        <v>849.19514872514719</v>
      </c>
      <c r="Z216" s="108">
        <f>F218+M218</f>
        <v>44.557873761754848</v>
      </c>
    </row>
    <row r="217" spans="1:26" ht="36" hidden="1" customHeight="1" x14ac:dyDescent="0.35">
      <c r="A217" s="397" t="s">
        <v>12</v>
      </c>
      <c r="B217" s="398" t="s">
        <v>13</v>
      </c>
      <c r="C217" s="399" t="s">
        <v>14</v>
      </c>
      <c r="D217" s="400">
        <f>E217+F217+G217+H217+I217</f>
        <v>423.12111943950526</v>
      </c>
      <c r="E217" s="401">
        <f>(E229-E218*E222)/(E220/1000*6)</f>
        <v>94.144493181483156</v>
      </c>
      <c r="F217" s="401">
        <f>(F229-F218*F222)/(F220/1000*6)</f>
        <v>7.2193716053072903</v>
      </c>
      <c r="G217" s="401">
        <f>(G229-G218*G222)/(G220/1000*6)</f>
        <v>109.50383427455</v>
      </c>
      <c r="H217" s="401">
        <f>(H229-H218*H222)/(H220/1000*6)</f>
        <v>56.115953711498214</v>
      </c>
      <c r="I217" s="687">
        <f>(I218+J218)/6*2</f>
        <v>156.13746666666665</v>
      </c>
      <c r="J217" s="688"/>
      <c r="K217" s="402">
        <f>L217+M217+N217+O217+P217</f>
        <v>438.41045704782994</v>
      </c>
      <c r="L217" s="401">
        <f>L188</f>
        <v>103.36863915468552</v>
      </c>
      <c r="M217" s="401">
        <f>M188</f>
        <v>6.9193035003417158</v>
      </c>
      <c r="N217" s="401">
        <f>N188</f>
        <v>111.39106583454172</v>
      </c>
      <c r="O217" s="401">
        <f>O188</f>
        <v>50.135615224927598</v>
      </c>
      <c r="P217" s="687">
        <f>(P218+Q218)/6*2</f>
        <v>166.59583333333333</v>
      </c>
      <c r="Q217" s="688"/>
      <c r="R217" s="481">
        <f t="shared" ref="R217:V217" si="96">(D217+K217)/2</f>
        <v>430.7657882436676</v>
      </c>
      <c r="S217" s="404">
        <f t="shared" si="96"/>
        <v>98.756566168084333</v>
      </c>
      <c r="T217" s="404">
        <f t="shared" si="96"/>
        <v>7.0693375528245035</v>
      </c>
      <c r="U217" s="404">
        <f t="shared" si="96"/>
        <v>110.44745005454587</v>
      </c>
      <c r="V217" s="404">
        <f t="shared" si="96"/>
        <v>53.125784468212906</v>
      </c>
      <c r="W217" s="482">
        <f>W218/6000*1000</f>
        <v>161.36664999999999</v>
      </c>
      <c r="X217" s="405"/>
      <c r="Y217" s="108"/>
      <c r="Z217" s="108"/>
    </row>
    <row r="218" spans="1:26" ht="21" hidden="1" x14ac:dyDescent="0.35">
      <c r="A218" s="406" t="s">
        <v>15</v>
      </c>
      <c r="B218" s="407" t="s">
        <v>16</v>
      </c>
      <c r="C218" s="408" t="s">
        <v>17</v>
      </c>
      <c r="D218" s="409">
        <f>E218+F218+G218+H218+I218+J218</f>
        <v>1411.8806331209621</v>
      </c>
      <c r="E218" s="410">
        <v>402.08229170400551</v>
      </c>
      <c r="F218" s="410">
        <v>22.553667349912267</v>
      </c>
      <c r="G218" s="410">
        <v>322.03932893053832</v>
      </c>
      <c r="H218" s="410">
        <v>196.79294513650618</v>
      </c>
      <c r="I218" s="410">
        <v>287.20194744424606</v>
      </c>
      <c r="J218" s="410">
        <v>181.2104525557539</v>
      </c>
      <c r="K218" s="411">
        <f>L218+M218+N218+O218+P218+Q218</f>
        <v>1485.1683244049723</v>
      </c>
      <c r="L218" s="410">
        <v>447.11285702114162</v>
      </c>
      <c r="M218" s="410">
        <v>22.004206411842578</v>
      </c>
      <c r="N218" s="410">
        <v>334.73238881887613</v>
      </c>
      <c r="O218" s="410">
        <v>181.53137215311185</v>
      </c>
      <c r="P218" s="410">
        <v>316.17291177638822</v>
      </c>
      <c r="Q218" s="443">
        <v>183.61458822361183</v>
      </c>
      <c r="R218" s="483">
        <v>2897.0489575259344</v>
      </c>
      <c r="S218" s="413">
        <f>E218+L218</f>
        <v>849.19514872514719</v>
      </c>
      <c r="T218" s="413">
        <f>F218+M218</f>
        <v>44.557873761754848</v>
      </c>
      <c r="U218" s="413">
        <f>G218+N218</f>
        <v>656.77171774941439</v>
      </c>
      <c r="V218" s="413">
        <f>H218+O218</f>
        <v>378.32431728961802</v>
      </c>
      <c r="W218" s="484">
        <v>968.19989999999996</v>
      </c>
      <c r="X218" s="405">
        <v>2909.1437913821646</v>
      </c>
      <c r="Y218" s="108">
        <f>X218-R218</f>
        <v>12.094833856230252</v>
      </c>
      <c r="Z218" s="108">
        <f>Y218/6</f>
        <v>2.0158056427050419</v>
      </c>
    </row>
    <row r="219" spans="1:26" ht="18.75" hidden="1" x14ac:dyDescent="0.25">
      <c r="A219" s="414"/>
      <c r="B219" s="415"/>
      <c r="C219" s="416"/>
      <c r="D219" s="417"/>
      <c r="E219" s="418"/>
      <c r="F219" s="418"/>
      <c r="G219" s="418"/>
      <c r="H219" s="418"/>
      <c r="I219" s="418"/>
      <c r="J219" s="419"/>
      <c r="K219" s="417"/>
      <c r="L219" s="418"/>
      <c r="M219" s="418"/>
      <c r="N219" s="418"/>
      <c r="O219" s="418"/>
      <c r="P219" s="420"/>
      <c r="Q219" s="420"/>
      <c r="R219" s="43"/>
      <c r="S219" s="421"/>
      <c r="T219" s="421"/>
      <c r="U219" s="421"/>
      <c r="V219" s="421"/>
      <c r="W219" s="422"/>
      <c r="X219" s="384"/>
      <c r="Y219" s="108"/>
      <c r="Z219" s="108"/>
    </row>
    <row r="220" spans="1:26" ht="18.75" hidden="1" x14ac:dyDescent="0.25">
      <c r="A220" s="423" t="s">
        <v>18</v>
      </c>
      <c r="B220" s="424" t="s">
        <v>19</v>
      </c>
      <c r="C220" s="408" t="s">
        <v>20</v>
      </c>
      <c r="D220" s="417"/>
      <c r="E220" s="425">
        <f>E190</f>
        <v>618342.7840000001</v>
      </c>
      <c r="F220" s="425">
        <f t="shared" ref="F220:H220" si="97">F190</f>
        <v>550174.31459999993</v>
      </c>
      <c r="G220" s="425">
        <f t="shared" si="97"/>
        <v>802424.60030000005</v>
      </c>
      <c r="H220" s="425">
        <f t="shared" si="97"/>
        <v>1191230.1847999999</v>
      </c>
      <c r="I220" s="426">
        <v>0</v>
      </c>
      <c r="J220" s="427"/>
      <c r="K220" s="417"/>
      <c r="L220" s="425">
        <f>E220*$L214</f>
        <v>630709.63968000014</v>
      </c>
      <c r="M220" s="425">
        <f>F220*$L214</f>
        <v>561177.80089199997</v>
      </c>
      <c r="N220" s="425">
        <f>G220*$L214</f>
        <v>818473.09230600006</v>
      </c>
      <c r="O220" s="425">
        <f>H220*$L214</f>
        <v>1215054.788496</v>
      </c>
      <c r="P220" s="426"/>
      <c r="Q220" s="426"/>
      <c r="R220" s="485">
        <f>R227/R217/12*1000</f>
        <v>748573.24225659308</v>
      </c>
      <c r="S220" s="428">
        <f>S227/S217/12*1000</f>
        <v>624814.98677023547</v>
      </c>
      <c r="T220" s="428">
        <f>T227/T217/12*1000</f>
        <v>555559.29308258614</v>
      </c>
      <c r="U220" s="428">
        <f>U227/U217/12*1000</f>
        <v>810517.40202925052</v>
      </c>
      <c r="V220" s="428">
        <f>V227/V217/12*1000</f>
        <v>1202472.0062219854</v>
      </c>
      <c r="W220" s="422"/>
      <c r="X220" s="384"/>
      <c r="Y220" s="108"/>
      <c r="Z220" s="108"/>
    </row>
    <row r="221" spans="1:26" ht="18.75" hidden="1" x14ac:dyDescent="0.25">
      <c r="A221" s="423"/>
      <c r="B221" s="424"/>
      <c r="C221" s="408"/>
      <c r="D221" s="417"/>
      <c r="E221" s="429"/>
      <c r="F221" s="429"/>
      <c r="G221" s="429"/>
      <c r="H221" s="429"/>
      <c r="I221" s="425"/>
      <c r="J221" s="427"/>
      <c r="K221" s="417"/>
      <c r="L221" s="429">
        <f>L220/E220*100</f>
        <v>102</v>
      </c>
      <c r="M221" s="429">
        <f>M220/F220*100</f>
        <v>102</v>
      </c>
      <c r="N221" s="429">
        <f>N220/G220*100</f>
        <v>102</v>
      </c>
      <c r="O221" s="429">
        <f>O220/H220*100</f>
        <v>102</v>
      </c>
      <c r="P221" s="426"/>
      <c r="Q221" s="426"/>
      <c r="R221" s="43"/>
      <c r="S221" s="421"/>
      <c r="T221" s="421"/>
      <c r="U221" s="421"/>
      <c r="V221" s="421"/>
      <c r="W221" s="422"/>
      <c r="X221" s="384"/>
      <c r="Y221" s="108"/>
      <c r="Z221" s="108"/>
    </row>
    <row r="222" spans="1:26" ht="37.5" hidden="1" x14ac:dyDescent="0.25">
      <c r="A222" s="423" t="s">
        <v>21</v>
      </c>
      <c r="B222" s="424" t="s">
        <v>22</v>
      </c>
      <c r="C222" s="408" t="s">
        <v>23</v>
      </c>
      <c r="D222" s="417"/>
      <c r="E222" s="425">
        <f>E192</f>
        <v>128.59549999999999</v>
      </c>
      <c r="F222" s="425">
        <f t="shared" ref="F222:J222" si="98">F192</f>
        <v>239.8664</v>
      </c>
      <c r="G222" s="425">
        <f t="shared" si="98"/>
        <v>449.78040000000004</v>
      </c>
      <c r="H222" s="425">
        <f t="shared" si="98"/>
        <v>895.31720000000007</v>
      </c>
      <c r="I222" s="425">
        <f t="shared" si="98"/>
        <v>2624.57</v>
      </c>
      <c r="J222" s="425">
        <f t="shared" si="98"/>
        <v>1421.18</v>
      </c>
      <c r="K222" s="417"/>
      <c r="L222" s="425">
        <f>E222*$N214</f>
        <v>136.31122999999999</v>
      </c>
      <c r="M222" s="425">
        <f t="shared" ref="M222:O222" si="99">F222*$N214</f>
        <v>254.25838400000001</v>
      </c>
      <c r="N222" s="425">
        <f t="shared" si="99"/>
        <v>476.76722400000006</v>
      </c>
      <c r="O222" s="425">
        <f t="shared" si="99"/>
        <v>949.03623200000015</v>
      </c>
      <c r="P222" s="425">
        <f>I222*$P214</f>
        <v>2703.3071000000004</v>
      </c>
      <c r="Q222" s="426">
        <f>J222*$P214</f>
        <v>1463.8154000000002</v>
      </c>
      <c r="R222" s="485">
        <f>R228/R218</f>
        <v>576.53826860060497</v>
      </c>
      <c r="S222" s="428">
        <f>S228/S218</f>
        <v>132.6579373437398</v>
      </c>
      <c r="T222" s="428">
        <f>T228/T218</f>
        <v>246.97365534852054</v>
      </c>
      <c r="U222" s="428">
        <f>U228/U218</f>
        <v>463.53459163162148</v>
      </c>
      <c r="V222" s="428">
        <f>V228/V218</f>
        <v>921.09320525274143</v>
      </c>
      <c r="W222" s="422"/>
      <c r="X222" s="384"/>
      <c r="Y222" s="108"/>
      <c r="Z222" s="108"/>
    </row>
    <row r="223" spans="1:26" ht="18.75" hidden="1" x14ac:dyDescent="0.25">
      <c r="A223" s="423"/>
      <c r="B223" s="424"/>
      <c r="C223" s="408" t="s">
        <v>23</v>
      </c>
      <c r="D223" s="417"/>
      <c r="E223" s="429"/>
      <c r="F223" s="429"/>
      <c r="G223" s="429"/>
      <c r="H223" s="429"/>
      <c r="I223" s="429"/>
      <c r="J223" s="429"/>
      <c r="K223" s="417"/>
      <c r="L223" s="429">
        <f t="shared" ref="L223:Q223" si="100">L222/E222*100</f>
        <v>106</v>
      </c>
      <c r="M223" s="429">
        <f t="shared" si="100"/>
        <v>106</v>
      </c>
      <c r="N223" s="429">
        <f t="shared" si="100"/>
        <v>106</v>
      </c>
      <c r="O223" s="429">
        <f t="shared" si="100"/>
        <v>106</v>
      </c>
      <c r="P223" s="430">
        <f t="shared" si="100"/>
        <v>103</v>
      </c>
      <c r="Q223" s="430">
        <f t="shared" si="100"/>
        <v>103</v>
      </c>
      <c r="R223" s="43"/>
      <c r="S223" s="421"/>
      <c r="T223" s="421"/>
      <c r="U223" s="421"/>
      <c r="V223" s="421"/>
      <c r="W223" s="422"/>
      <c r="X223" s="384"/>
      <c r="Y223" s="108"/>
      <c r="Z223" s="108"/>
    </row>
    <row r="224" spans="1:26" ht="19.5" hidden="1" x14ac:dyDescent="0.25">
      <c r="A224" s="423" t="s">
        <v>25</v>
      </c>
      <c r="B224" s="424" t="s">
        <v>26</v>
      </c>
      <c r="C224" s="431"/>
      <c r="D224" s="432">
        <f>D229/D218</f>
        <v>1905.8804018954281</v>
      </c>
      <c r="E224" s="425">
        <f>E194</f>
        <v>997.27690000000007</v>
      </c>
      <c r="F224" s="425">
        <f t="shared" ref="F224:J224" si="101">F194</f>
        <v>1296.5228</v>
      </c>
      <c r="G224" s="425">
        <f t="shared" si="101"/>
        <v>2086.8829999999998</v>
      </c>
      <c r="H224" s="425">
        <f t="shared" si="101"/>
        <v>2933.4090999999999</v>
      </c>
      <c r="I224" s="425">
        <f t="shared" si="101"/>
        <v>2624.57</v>
      </c>
      <c r="J224" s="425">
        <f t="shared" si="101"/>
        <v>1421.18</v>
      </c>
      <c r="K224" s="432">
        <f>K229/K218</f>
        <v>1918.2343360231528</v>
      </c>
      <c r="L224" s="425">
        <f>E224*1.01396014285621</f>
        <v>1011.1990279911982</v>
      </c>
      <c r="M224" s="425">
        <f>F224*1.01274339641385</f>
        <v>1313.0449039999946</v>
      </c>
      <c r="N224" s="425">
        <f>G224*1.01154630518338</f>
        <v>2110.9787880000072</v>
      </c>
      <c r="O224" s="425">
        <f>H224*1.00991385771967</f>
        <v>2962.4905004509851</v>
      </c>
      <c r="P224" s="425">
        <f>P222</f>
        <v>2703.3071000000004</v>
      </c>
      <c r="Q224" s="426">
        <f>Q222</f>
        <v>1463.8154000000002</v>
      </c>
      <c r="R224" s="350">
        <f>R229/R218</f>
        <v>1912.2136299206636</v>
      </c>
      <c r="S224" s="433"/>
      <c r="T224" s="433"/>
      <c r="U224" s="433"/>
      <c r="V224" s="433"/>
      <c r="W224" s="422"/>
      <c r="X224" s="384"/>
      <c r="Y224" s="108"/>
      <c r="Z224" s="108"/>
    </row>
    <row r="225" spans="1:26" ht="23.25" hidden="1" x14ac:dyDescent="0.25">
      <c r="A225" s="417"/>
      <c r="B225" s="434" t="s">
        <v>27</v>
      </c>
      <c r="C225" s="435"/>
      <c r="D225" s="417"/>
      <c r="E225" s="429"/>
      <c r="F225" s="429"/>
      <c r="G225" s="429"/>
      <c r="H225" s="429"/>
      <c r="I225" s="429"/>
      <c r="J225" s="429"/>
      <c r="K225" s="436">
        <f>K224/D224</f>
        <v>1.0064820091100357</v>
      </c>
      <c r="L225" s="429">
        <f t="shared" ref="L225:Q225" si="102">L224/E224*100</f>
        <v>101.39601428562099</v>
      </c>
      <c r="M225" s="429">
        <f t="shared" si="102"/>
        <v>101.274339641385</v>
      </c>
      <c r="N225" s="429">
        <f t="shared" si="102"/>
        <v>101.154630518338</v>
      </c>
      <c r="O225" s="429">
        <f t="shared" si="102"/>
        <v>100.991385771967</v>
      </c>
      <c r="P225" s="429">
        <f t="shared" si="102"/>
        <v>103</v>
      </c>
      <c r="Q225" s="430">
        <f t="shared" si="102"/>
        <v>103</v>
      </c>
      <c r="R225" s="437" t="e">
        <f>R224/R205*100</f>
        <v>#DIV/0!</v>
      </c>
      <c r="S225" s="438"/>
      <c r="T225" s="438"/>
      <c r="U225" s="438"/>
      <c r="V225" s="438"/>
      <c r="W225" s="422"/>
      <c r="X225" s="384"/>
      <c r="Y225" s="108"/>
      <c r="Z225" s="108"/>
    </row>
    <row r="226" spans="1:26" ht="18.75" hidden="1" x14ac:dyDescent="0.25">
      <c r="A226" s="439">
        <v>6</v>
      </c>
      <c r="B226" s="424" t="s">
        <v>28</v>
      </c>
      <c r="C226" s="408" t="s">
        <v>29</v>
      </c>
      <c r="D226" s="409">
        <f>SUM(E226:J226)</f>
        <v>2690875.6284809508</v>
      </c>
      <c r="E226" s="440">
        <f>E217*E220*6/1000+E218*E222</f>
        <v>400987.38141546637</v>
      </c>
      <c r="F226" s="440">
        <f>F217*F220*6/1000+F218*F222</f>
        <v>29241.343942776832</v>
      </c>
      <c r="G226" s="440">
        <f>G217*G220*6/1000+G218*G222</f>
        <v>672058.40087654837</v>
      </c>
      <c r="H226" s="440">
        <f>H217*H220*6/1000+H218*H222</f>
        <v>577274.21607922798</v>
      </c>
      <c r="I226" s="440">
        <f>I218*I222</f>
        <v>753781.61520374496</v>
      </c>
      <c r="J226" s="441">
        <f>J218*J222</f>
        <v>257532.67096318633</v>
      </c>
      <c r="K226" s="442">
        <f>SUM(L226:Q226)</f>
        <v>2848900.8746475899</v>
      </c>
      <c r="L226" s="410">
        <f>L217*L220*6/1000+L218*L222</f>
        <v>452120.08642214793</v>
      </c>
      <c r="M226" s="410">
        <f>M217*M220*6/1000+M218*M222</f>
        <v>28892.511095634021</v>
      </c>
      <c r="N226" s="410">
        <f>N217*N220*6/1000+N218*N222</f>
        <v>706612.97245321586</v>
      </c>
      <c r="O226" s="410">
        <f>O217*O220*6/1000+O218*O222</f>
        <v>537784.96553742653</v>
      </c>
      <c r="P226" s="443">
        <f>P218*P222</f>
        <v>854712.47723278403</v>
      </c>
      <c r="Q226" s="443">
        <f>Q218*Q222</f>
        <v>268777.86190638167</v>
      </c>
      <c r="R226" s="444">
        <f t="shared" ref="R226:V229" si="103">D226+K226</f>
        <v>5539776.5031285407</v>
      </c>
      <c r="S226" s="413">
        <f t="shared" si="103"/>
        <v>853107.46783761424</v>
      </c>
      <c r="T226" s="413">
        <f t="shared" si="103"/>
        <v>58133.855038410853</v>
      </c>
      <c r="U226" s="413">
        <f t="shared" si="103"/>
        <v>1378671.3733297642</v>
      </c>
      <c r="V226" s="413">
        <f t="shared" si="103"/>
        <v>1115059.1816166546</v>
      </c>
      <c r="W226" s="484">
        <f>I226+P226+J226+Q226</f>
        <v>2134804.6253060969</v>
      </c>
      <c r="X226" s="384"/>
      <c r="Y226" s="108"/>
      <c r="Z226" s="108"/>
    </row>
    <row r="227" spans="1:26" ht="18.75" hidden="1" x14ac:dyDescent="0.25">
      <c r="A227" s="445"/>
      <c r="B227" s="446" t="s">
        <v>46</v>
      </c>
      <c r="C227" s="447"/>
      <c r="D227" s="448">
        <f>SUM(E227:J227)</f>
        <v>1893343.0229293481</v>
      </c>
      <c r="E227" s="449">
        <f>E226-E228</f>
        <v>349281.40807264391</v>
      </c>
      <c r="F227" s="449">
        <f t="shared" ref="F227:J227" si="104">F226-F228</f>
        <v>23831.476948755837</v>
      </c>
      <c r="G227" s="449">
        <f t="shared" si="104"/>
        <v>527211.4226944393</v>
      </c>
      <c r="H227" s="449">
        <f t="shared" si="104"/>
        <v>401082.10745985759</v>
      </c>
      <c r="I227" s="449">
        <f t="shared" si="104"/>
        <v>496644.7717834154</v>
      </c>
      <c r="J227" s="449">
        <f t="shared" si="104"/>
        <v>95291.835970235901</v>
      </c>
      <c r="K227" s="448">
        <f>SUM(L227:Q227)</f>
        <v>1976173.8901760033</v>
      </c>
      <c r="L227" s="449">
        <f>L226-L228</f>
        <v>391173.58293278201</v>
      </c>
      <c r="M227" s="449">
        <f t="shared" ref="M227:Q227" si="105">M226-M228</f>
        <v>23297.75713215649</v>
      </c>
      <c r="N227" s="449">
        <f t="shared" si="105"/>
        <v>547023.54065315169</v>
      </c>
      <c r="O227" s="449">
        <f t="shared" si="105"/>
        <v>365505.11611944751</v>
      </c>
      <c r="P227" s="449">
        <f t="shared" si="105"/>
        <v>554652.92838005209</v>
      </c>
      <c r="Q227" s="486">
        <f t="shared" si="105"/>
        <v>94520.964958413504</v>
      </c>
      <c r="R227" s="444">
        <f t="shared" si="103"/>
        <v>3869516.9131053514</v>
      </c>
      <c r="S227" s="413">
        <f t="shared" si="103"/>
        <v>740454.99100542592</v>
      </c>
      <c r="T227" s="413">
        <f t="shared" si="103"/>
        <v>47129.234080912327</v>
      </c>
      <c r="U227" s="413">
        <f t="shared" si="103"/>
        <v>1074234.963347591</v>
      </c>
      <c r="V227" s="413">
        <f t="shared" si="103"/>
        <v>766587.22357930511</v>
      </c>
      <c r="W227" s="450"/>
      <c r="X227" s="384"/>
    </row>
    <row r="228" spans="1:26" ht="18.75" hidden="1" x14ac:dyDescent="0.25">
      <c r="A228" s="445"/>
      <c r="B228" s="446" t="s">
        <v>47</v>
      </c>
      <c r="C228" s="447"/>
      <c r="D228" s="448">
        <f>SUM(E228:J228)</f>
        <v>797532.6055516029</v>
      </c>
      <c r="E228" s="449">
        <f>E218*E222</f>
        <v>51705.973342822435</v>
      </c>
      <c r="F228" s="449">
        <f t="shared" ref="F228:H228" si="106">F218*F222</f>
        <v>5409.8669940209957</v>
      </c>
      <c r="G228" s="449">
        <f t="shared" si="106"/>
        <v>144846.9781821091</v>
      </c>
      <c r="H228" s="449">
        <f t="shared" si="106"/>
        <v>176192.10861937035</v>
      </c>
      <c r="I228" s="449">
        <f>I218*H222</f>
        <v>257136.84342032956</v>
      </c>
      <c r="J228" s="449">
        <f>J218*H222</f>
        <v>162240.83499295043</v>
      </c>
      <c r="K228" s="448">
        <f>SUM(L228:Q228)</f>
        <v>872726.98447158688</v>
      </c>
      <c r="L228" s="449">
        <f>L218*L222</f>
        <v>60946.503489365947</v>
      </c>
      <c r="M228" s="449">
        <f t="shared" ref="M228:O228" si="107">M218*M222</f>
        <v>5594.7539634775321</v>
      </c>
      <c r="N228" s="449">
        <f t="shared" si="107"/>
        <v>159589.43180006422</v>
      </c>
      <c r="O228" s="449">
        <f t="shared" si="107"/>
        <v>172279.84941797901</v>
      </c>
      <c r="P228" s="449">
        <f>P218*O222</f>
        <v>300059.54885273194</v>
      </c>
      <c r="Q228" s="486">
        <f>Q218*O222</f>
        <v>174256.89694796817</v>
      </c>
      <c r="R228" s="444">
        <f t="shared" si="103"/>
        <v>1670259.5900231898</v>
      </c>
      <c r="S228" s="413">
        <f t="shared" si="103"/>
        <v>112652.47683218837</v>
      </c>
      <c r="T228" s="413">
        <f t="shared" si="103"/>
        <v>11004.620957498528</v>
      </c>
      <c r="U228" s="413">
        <f t="shared" si="103"/>
        <v>304436.40998217335</v>
      </c>
      <c r="V228" s="413">
        <f t="shared" si="103"/>
        <v>348471.9580373494</v>
      </c>
      <c r="W228" s="450"/>
      <c r="X228" s="384"/>
    </row>
    <row r="229" spans="1:26" ht="26.25" hidden="1" thickBot="1" x14ac:dyDescent="0.3">
      <c r="A229" s="451">
        <v>7</v>
      </c>
      <c r="B229" s="452" t="s">
        <v>30</v>
      </c>
      <c r="C229" s="453" t="s">
        <v>29</v>
      </c>
      <c r="D229" s="409">
        <f>SUM(E229:J229)</f>
        <v>2690875.6284809508</v>
      </c>
      <c r="E229" s="454">
        <f t="shared" ref="E229:J229" si="108">E218*E224</f>
        <v>400987.38141546637</v>
      </c>
      <c r="F229" s="454">
        <f t="shared" si="108"/>
        <v>29241.343942776832</v>
      </c>
      <c r="G229" s="454">
        <f t="shared" si="108"/>
        <v>672058.40087654849</v>
      </c>
      <c r="H229" s="454">
        <f t="shared" si="108"/>
        <v>577274.21607922798</v>
      </c>
      <c r="I229" s="454">
        <f t="shared" si="108"/>
        <v>753781.61520374496</v>
      </c>
      <c r="J229" s="455">
        <f t="shared" si="108"/>
        <v>257532.67096318633</v>
      </c>
      <c r="K229" s="456">
        <f>SUM(L229:Q229)</f>
        <v>2848900.8746475903</v>
      </c>
      <c r="L229" s="457">
        <f t="shared" ref="L229:Q229" si="109">L218*L224</f>
        <v>452120.08642214601</v>
      </c>
      <c r="M229" s="457">
        <f t="shared" si="109"/>
        <v>28892.511095633905</v>
      </c>
      <c r="N229" s="457">
        <f t="shared" si="109"/>
        <v>706612.9724532183</v>
      </c>
      <c r="O229" s="457">
        <f t="shared" si="109"/>
        <v>537784.96553742629</v>
      </c>
      <c r="P229" s="458">
        <f t="shared" si="109"/>
        <v>854712.47723278403</v>
      </c>
      <c r="Q229" s="458">
        <f t="shared" si="109"/>
        <v>268777.86190638167</v>
      </c>
      <c r="R229" s="459">
        <f t="shared" si="103"/>
        <v>5539776.5031285416</v>
      </c>
      <c r="S229" s="460">
        <f t="shared" si="103"/>
        <v>853107.46783761238</v>
      </c>
      <c r="T229" s="460">
        <f t="shared" si="103"/>
        <v>58133.855038410737</v>
      </c>
      <c r="U229" s="460">
        <f t="shared" si="103"/>
        <v>1378671.3733297668</v>
      </c>
      <c r="V229" s="460">
        <f t="shared" si="103"/>
        <v>1115059.1816166542</v>
      </c>
      <c r="W229" s="487">
        <f>I229+P229+J229+Q229</f>
        <v>2134804.6253060969</v>
      </c>
    </row>
    <row r="230" spans="1:26" ht="15.75" hidden="1" customHeight="1" x14ac:dyDescent="0.3">
      <c r="A230" s="461"/>
      <c r="B230" s="462" t="s">
        <v>32</v>
      </c>
      <c r="C230" s="461"/>
      <c r="D230" s="463">
        <f>D226-D229</f>
        <v>0</v>
      </c>
      <c r="E230" s="463">
        <f>E226-E229</f>
        <v>0</v>
      </c>
      <c r="F230" s="463">
        <f t="shared" ref="F230:W230" si="110">F226-F229</f>
        <v>0</v>
      </c>
      <c r="G230" s="463">
        <f t="shared" si="110"/>
        <v>0</v>
      </c>
      <c r="H230" s="463">
        <f t="shared" si="110"/>
        <v>0</v>
      </c>
      <c r="I230" s="463">
        <f t="shared" si="110"/>
        <v>0</v>
      </c>
      <c r="J230" s="463">
        <f t="shared" si="110"/>
        <v>0</v>
      </c>
      <c r="K230" s="463">
        <f t="shared" si="110"/>
        <v>0</v>
      </c>
      <c r="L230" s="463">
        <f t="shared" si="110"/>
        <v>1.9208528101444244E-9</v>
      </c>
      <c r="M230" s="463">
        <f t="shared" si="110"/>
        <v>1.1641532182693481E-10</v>
      </c>
      <c r="N230" s="463">
        <f t="shared" si="110"/>
        <v>-2.4447217583656311E-9</v>
      </c>
      <c r="O230" s="463">
        <f t="shared" si="110"/>
        <v>0</v>
      </c>
      <c r="P230" s="463">
        <f t="shared" si="110"/>
        <v>0</v>
      </c>
      <c r="Q230" s="463">
        <f t="shared" si="110"/>
        <v>0</v>
      </c>
      <c r="R230" s="463">
        <f t="shared" si="110"/>
        <v>0</v>
      </c>
      <c r="S230" s="463">
        <f t="shared" si="110"/>
        <v>1.862645149230957E-9</v>
      </c>
      <c r="T230" s="463">
        <f t="shared" si="110"/>
        <v>1.1641532182693481E-10</v>
      </c>
      <c r="U230" s="463">
        <f t="shared" si="110"/>
        <v>-2.5611370801925659E-9</v>
      </c>
      <c r="V230" s="463">
        <f t="shared" si="110"/>
        <v>0</v>
      </c>
      <c r="W230" s="463">
        <f t="shared" si="110"/>
        <v>0</v>
      </c>
      <c r="X230" s="470"/>
      <c r="Y230" s="470"/>
      <c r="Z230" s="470"/>
    </row>
    <row r="231" spans="1:26" hidden="1" x14ac:dyDescent="0.25">
      <c r="A231" s="384"/>
      <c r="B231" s="384"/>
      <c r="C231" s="384"/>
      <c r="D231" s="384"/>
      <c r="E231" s="384"/>
      <c r="F231" s="384"/>
      <c r="G231" s="384"/>
      <c r="H231" s="384"/>
      <c r="I231" s="384"/>
      <c r="J231" s="384"/>
      <c r="K231" s="384"/>
      <c r="L231" s="384"/>
      <c r="M231" s="384"/>
      <c r="N231" s="384"/>
      <c r="O231" s="384"/>
      <c r="P231" s="384"/>
      <c r="Q231" s="384"/>
      <c r="R231" s="384"/>
      <c r="S231" s="384"/>
      <c r="T231" s="384"/>
      <c r="U231" s="384"/>
      <c r="V231" s="384"/>
      <c r="W231" s="384"/>
      <c r="X231" s="471"/>
      <c r="Y231" s="471"/>
      <c r="Z231" s="471"/>
    </row>
    <row r="232" spans="1:26" ht="33" hidden="1" customHeight="1" x14ac:dyDescent="0.25">
      <c r="A232" s="384"/>
      <c r="B232" s="384"/>
      <c r="C232" s="384"/>
      <c r="D232" s="384"/>
      <c r="E232" s="384"/>
      <c r="F232" s="384"/>
      <c r="G232" s="384"/>
      <c r="H232" s="384"/>
      <c r="I232" s="384"/>
      <c r="J232" s="384"/>
      <c r="K232" s="384"/>
      <c r="L232" s="384"/>
      <c r="M232" s="384"/>
      <c r="N232" s="384"/>
      <c r="O232" s="384"/>
      <c r="P232" s="384"/>
      <c r="Q232" s="384"/>
      <c r="R232" s="384"/>
      <c r="S232" s="384"/>
      <c r="T232" s="384"/>
      <c r="U232" s="384"/>
      <c r="V232" s="384"/>
      <c r="W232" s="384"/>
    </row>
    <row r="233" spans="1:26" ht="24" hidden="1" customHeight="1" x14ac:dyDescent="0.25"/>
    <row r="234" spans="1:26" s="470" customFormat="1" ht="28.5" hidden="1" customHeight="1" x14ac:dyDescent="0.35">
      <c r="B234" s="488"/>
      <c r="E234" s="489"/>
      <c r="F234" s="489"/>
      <c r="G234" s="489"/>
      <c r="H234" s="489"/>
      <c r="I234" s="489"/>
      <c r="J234" s="489"/>
      <c r="L234" s="489"/>
      <c r="M234" s="489"/>
      <c r="N234" s="489"/>
      <c r="O234" s="489"/>
      <c r="P234" s="489"/>
      <c r="Q234" s="489"/>
      <c r="X234"/>
      <c r="Y234"/>
      <c r="Z234"/>
    </row>
    <row r="235" spans="1:26" s="471" customFormat="1" ht="28.5" hidden="1" customHeight="1" x14ac:dyDescent="0.35">
      <c r="B235" s="488"/>
      <c r="E235" s="489"/>
      <c r="F235" s="489"/>
      <c r="G235" s="489"/>
      <c r="H235" s="489"/>
      <c r="I235" s="489"/>
      <c r="J235" s="489"/>
      <c r="L235" s="489"/>
      <c r="M235" s="489"/>
      <c r="N235" s="489"/>
      <c r="O235" s="489"/>
      <c r="P235" s="489"/>
      <c r="Q235" s="489"/>
      <c r="X235"/>
      <c r="Y235"/>
      <c r="Z235"/>
    </row>
    <row r="236" spans="1:26" hidden="1" x14ac:dyDescent="0.25"/>
    <row r="237" spans="1:26" hidden="1" x14ac:dyDescent="0.25"/>
    <row r="238" spans="1:26" ht="34.5" hidden="1" customHeight="1" x14ac:dyDescent="0.35">
      <c r="A238" s="265"/>
      <c r="B238" s="490"/>
      <c r="C238" s="491" t="s">
        <v>6</v>
      </c>
      <c r="D238" s="491" t="s">
        <v>7</v>
      </c>
      <c r="E238" s="491" t="s">
        <v>8</v>
      </c>
      <c r="F238" s="491" t="s">
        <v>9</v>
      </c>
      <c r="G238" s="491" t="s">
        <v>76</v>
      </c>
      <c r="H238" s="491" t="s">
        <v>77</v>
      </c>
      <c r="I238" s="265"/>
      <c r="J238" s="265"/>
    </row>
    <row r="239" spans="1:26" ht="30" hidden="1" customHeight="1" x14ac:dyDescent="0.35">
      <c r="A239" s="265"/>
      <c r="B239" s="490" t="s">
        <v>75</v>
      </c>
      <c r="C239" s="492">
        <v>658.85562200000004</v>
      </c>
      <c r="D239" s="492">
        <v>47.594371000000002</v>
      </c>
      <c r="E239" s="492">
        <v>844.42227500000001</v>
      </c>
      <c r="F239" s="492">
        <v>308.96007200000003</v>
      </c>
      <c r="G239" s="492">
        <v>930.33436600000005</v>
      </c>
      <c r="H239" s="493">
        <f>C239+D239+E239+F239+G239</f>
        <v>2790.166706</v>
      </c>
      <c r="I239" s="265"/>
      <c r="J239" s="265"/>
    </row>
    <row r="240" spans="1:26" ht="30" hidden="1" customHeight="1" x14ac:dyDescent="0.35">
      <c r="A240" s="265"/>
      <c r="B240" s="490" t="s">
        <v>78</v>
      </c>
      <c r="C240" s="492">
        <v>675.74582595340996</v>
      </c>
      <c r="D240" s="492">
        <v>44.039799410613142</v>
      </c>
      <c r="E240" s="492">
        <v>742.240170380726</v>
      </c>
      <c r="F240" s="492">
        <v>444.39653582762901</v>
      </c>
      <c r="G240" s="492">
        <v>906.93979999999999</v>
      </c>
      <c r="H240" s="493">
        <f t="shared" ref="H240:H241" si="111">C240+D240+E240+F240+G240</f>
        <v>2813.3621315723781</v>
      </c>
      <c r="I240" s="265"/>
      <c r="J240" s="265"/>
    </row>
    <row r="241" spans="1:26" ht="30" hidden="1" customHeight="1" x14ac:dyDescent="0.35">
      <c r="A241" s="265"/>
      <c r="B241" s="490" t="s">
        <v>79</v>
      </c>
      <c r="C241" s="494">
        <f>E218+L218</f>
        <v>849.19514872514719</v>
      </c>
      <c r="D241" s="492">
        <f t="shared" ref="D241:F241" si="112">F218+M218</f>
        <v>44.557873761754848</v>
      </c>
      <c r="E241" s="494">
        <f t="shared" si="112"/>
        <v>656.77171774941439</v>
      </c>
      <c r="F241" s="494">
        <f t="shared" si="112"/>
        <v>378.32431728961802</v>
      </c>
      <c r="G241" s="492">
        <f>I218+J218+P218+Q218</f>
        <v>968.19989999999996</v>
      </c>
      <c r="H241" s="493">
        <f t="shared" si="111"/>
        <v>2897.0489575259344</v>
      </c>
      <c r="I241" s="265"/>
      <c r="J241" s="265"/>
    </row>
    <row r="242" spans="1:26" hidden="1" x14ac:dyDescent="0.25"/>
    <row r="243" spans="1:26" hidden="1" x14ac:dyDescent="0.25"/>
    <row r="244" spans="1:26" hidden="1" x14ac:dyDescent="0.25"/>
    <row r="245" spans="1:26" hidden="1" x14ac:dyDescent="0.25"/>
    <row r="246" spans="1:26" ht="21" hidden="1" x14ac:dyDescent="0.35">
      <c r="C246" s="490"/>
      <c r="D246" s="491" t="s">
        <v>6</v>
      </c>
      <c r="E246" s="491" t="s">
        <v>7</v>
      </c>
      <c r="F246" s="491" t="s">
        <v>8</v>
      </c>
      <c r="G246" s="491" t="s">
        <v>9</v>
      </c>
      <c r="H246" s="491" t="s">
        <v>76</v>
      </c>
      <c r="I246" s="491" t="s">
        <v>77</v>
      </c>
    </row>
    <row r="247" spans="1:26" ht="21" hidden="1" x14ac:dyDescent="0.35">
      <c r="C247" s="490" t="s">
        <v>75</v>
      </c>
      <c r="D247" s="493">
        <v>658.85562200000004</v>
      </c>
      <c r="E247" s="493">
        <v>47.594371000000002</v>
      </c>
      <c r="F247" s="493">
        <v>844.42227500000001</v>
      </c>
      <c r="G247" s="493">
        <v>308.96007200000003</v>
      </c>
      <c r="H247" s="493">
        <v>930.33436600000005</v>
      </c>
      <c r="I247" s="493">
        <f>D247+E247+F247+G247+H247</f>
        <v>2790.166706</v>
      </c>
    </row>
    <row r="248" spans="1:26" ht="21" hidden="1" x14ac:dyDescent="0.35">
      <c r="C248" s="495" t="s">
        <v>81</v>
      </c>
      <c r="D248" s="496" t="e">
        <f>D247/#REF!</f>
        <v>#REF!</v>
      </c>
      <c r="E248" s="496" t="e">
        <f>E247/#REF!</f>
        <v>#REF!</v>
      </c>
      <c r="F248" s="496" t="e">
        <f>F247/#REF!</f>
        <v>#REF!</v>
      </c>
      <c r="G248" s="496" t="e">
        <f>G247/#REF!</f>
        <v>#REF!</v>
      </c>
      <c r="H248" s="496" t="e">
        <f>H247/#REF!</f>
        <v>#REF!</v>
      </c>
      <c r="I248" s="495"/>
    </row>
    <row r="249" spans="1:26" ht="21" hidden="1" x14ac:dyDescent="0.35">
      <c r="C249" s="490" t="s">
        <v>78</v>
      </c>
      <c r="D249" s="493">
        <v>675.74582595340996</v>
      </c>
      <c r="E249" s="493">
        <v>44.039799410613142</v>
      </c>
      <c r="F249" s="493">
        <v>742.240170380726</v>
      </c>
      <c r="G249" s="493">
        <v>444.39653582762901</v>
      </c>
      <c r="H249" s="493">
        <v>906.93979999999999</v>
      </c>
      <c r="I249" s="493">
        <f t="shared" ref="I249" si="113">D249+E249+F249+G249+H249</f>
        <v>2813.3621315723781</v>
      </c>
    </row>
    <row r="250" spans="1:26" ht="21" hidden="1" x14ac:dyDescent="0.35">
      <c r="C250" s="495" t="s">
        <v>81</v>
      </c>
      <c r="D250" s="496" t="e">
        <f>D249/#REF!</f>
        <v>#REF!</v>
      </c>
      <c r="E250" s="496" t="e">
        <f>E249/#REF!</f>
        <v>#REF!</v>
      </c>
      <c r="F250" s="496" t="e">
        <f>F249/#REF!</f>
        <v>#REF!</v>
      </c>
      <c r="G250" s="496" t="e">
        <f>G249/#REF!</f>
        <v>#REF!</v>
      </c>
      <c r="H250" s="496" t="e">
        <f>H249/#REF!</f>
        <v>#REF!</v>
      </c>
      <c r="I250" s="495"/>
    </row>
    <row r="251" spans="1:26" ht="21" hidden="1" x14ac:dyDescent="0.35">
      <c r="C251" s="490" t="s">
        <v>79</v>
      </c>
      <c r="D251" s="497">
        <f>E146+L146</f>
        <v>723.23996412680515</v>
      </c>
      <c r="E251" s="497">
        <f t="shared" ref="E251:G251" si="114">F146+M146</f>
        <v>44.238645379130944</v>
      </c>
      <c r="F251" s="497">
        <f t="shared" si="114"/>
        <v>600.39149049406399</v>
      </c>
      <c r="G251" s="497">
        <f t="shared" si="114"/>
        <v>547.16</v>
      </c>
      <c r="H251" s="493">
        <f>I146+J146+P146+Q146</f>
        <v>968.19989999999984</v>
      </c>
      <c r="I251" s="493">
        <f t="shared" ref="I251" si="115">D251+E251+F251+G251+H251</f>
        <v>2883.2299999999996</v>
      </c>
      <c r="X251" s="498"/>
      <c r="Y251" s="498"/>
      <c r="Z251" s="498"/>
    </row>
    <row r="252" spans="1:26" ht="21" hidden="1" x14ac:dyDescent="0.35">
      <c r="C252" s="495" t="s">
        <v>81</v>
      </c>
      <c r="D252" s="496" t="e">
        <f>D251/#REF!</f>
        <v>#REF!</v>
      </c>
      <c r="E252" s="496" t="e">
        <f>E251/#REF!</f>
        <v>#REF!</v>
      </c>
      <c r="F252" s="496" t="e">
        <f>F251/#REF!</f>
        <v>#REF!</v>
      </c>
      <c r="G252" s="496" t="e">
        <f>G251/#REF!</f>
        <v>#REF!</v>
      </c>
      <c r="H252" s="496" t="e">
        <f>H251/#REF!</f>
        <v>#REF!</v>
      </c>
      <c r="I252" s="495"/>
    </row>
    <row r="253" spans="1:26" hidden="1" x14ac:dyDescent="0.25"/>
    <row r="254" spans="1:26" hidden="1" x14ac:dyDescent="0.25"/>
    <row r="255" spans="1:26" s="498" customFormat="1" ht="21" hidden="1" x14ac:dyDescent="0.35">
      <c r="C255" s="498" t="s">
        <v>82</v>
      </c>
      <c r="D255" s="499">
        <f t="shared" ref="D255:I255" si="116">E146/$D$127</f>
        <v>0.28790973585647783</v>
      </c>
      <c r="E255" s="499">
        <f t="shared" si="116"/>
        <v>1.5724144503915443E-2</v>
      </c>
      <c r="F255" s="499">
        <f t="shared" si="116"/>
        <v>0.20384918690540199</v>
      </c>
      <c r="G255" s="499">
        <f t="shared" si="116"/>
        <v>0.17777372860835591</v>
      </c>
      <c r="H255" s="499">
        <f t="shared" si="116"/>
        <v>0.20167862640521683</v>
      </c>
      <c r="I255" s="499">
        <f t="shared" si="116"/>
        <v>0.12724939885307296</v>
      </c>
      <c r="X255"/>
      <c r="Y255"/>
      <c r="Z255"/>
    </row>
    <row r="256" spans="1:26" ht="31.5" hidden="1" customHeight="1" x14ac:dyDescent="0.35">
      <c r="C256" s="498" t="s">
        <v>83</v>
      </c>
      <c r="D256" s="499">
        <f>L146/$K$127</f>
        <v>0.21466958170237502</v>
      </c>
      <c r="E256" s="499">
        <f t="shared" ref="E256:I256" si="117">M146/$K$127</f>
        <v>1.4971882704770418E-2</v>
      </c>
      <c r="F256" s="499">
        <f t="shared" si="117"/>
        <v>0.21251670138416237</v>
      </c>
      <c r="G256" s="499">
        <f t="shared" si="117"/>
        <v>0.20148405136117639</v>
      </c>
      <c r="H256" s="499">
        <f t="shared" si="117"/>
        <v>0.21904567710631459</v>
      </c>
      <c r="I256" s="499">
        <f t="shared" si="117"/>
        <v>0.12346864370890293</v>
      </c>
    </row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</sheetData>
  <mergeCells count="89">
    <mergeCell ref="B3:W3"/>
    <mergeCell ref="R215:W215"/>
    <mergeCell ref="I217:J217"/>
    <mergeCell ref="P217:Q217"/>
    <mergeCell ref="I188:J188"/>
    <mergeCell ref="P188:Q188"/>
    <mergeCell ref="A215:A216"/>
    <mergeCell ref="B215:B216"/>
    <mergeCell ref="C215:C216"/>
    <mergeCell ref="D215:J215"/>
    <mergeCell ref="K215:Q215"/>
    <mergeCell ref="R164:W164"/>
    <mergeCell ref="I166:J166"/>
    <mergeCell ref="P166:Q166"/>
    <mergeCell ref="A186:A187"/>
    <mergeCell ref="B186:B187"/>
    <mergeCell ref="C186:C187"/>
    <mergeCell ref="D186:J186"/>
    <mergeCell ref="K186:Q186"/>
    <mergeCell ref="R186:W186"/>
    <mergeCell ref="I145:J145"/>
    <mergeCell ref="P145:Q145"/>
    <mergeCell ref="C163:H163"/>
    <mergeCell ref="A164:A165"/>
    <mergeCell ref="B164:B165"/>
    <mergeCell ref="C164:C165"/>
    <mergeCell ref="D164:J164"/>
    <mergeCell ref="K164:Q164"/>
    <mergeCell ref="R143:W143"/>
    <mergeCell ref="I126:J126"/>
    <mergeCell ref="P126:Q126"/>
    <mergeCell ref="A124:A125"/>
    <mergeCell ref="B124:B125"/>
    <mergeCell ref="C124:C125"/>
    <mergeCell ref="D124:J124"/>
    <mergeCell ref="K124:Q124"/>
    <mergeCell ref="R124:W124"/>
    <mergeCell ref="A143:A144"/>
    <mergeCell ref="B143:B144"/>
    <mergeCell ref="C143:C144"/>
    <mergeCell ref="D143:J143"/>
    <mergeCell ref="K143:Q143"/>
    <mergeCell ref="R107:W107"/>
    <mergeCell ref="I109:J109"/>
    <mergeCell ref="P109:Q109"/>
    <mergeCell ref="I91:J91"/>
    <mergeCell ref="P91:Q91"/>
    <mergeCell ref="A107:A108"/>
    <mergeCell ref="B107:B108"/>
    <mergeCell ref="C107:C108"/>
    <mergeCell ref="D107:J107"/>
    <mergeCell ref="K107:Q107"/>
    <mergeCell ref="R70:W70"/>
    <mergeCell ref="I72:J72"/>
    <mergeCell ref="P72:Q72"/>
    <mergeCell ref="A89:A90"/>
    <mergeCell ref="B89:B90"/>
    <mergeCell ref="C89:C90"/>
    <mergeCell ref="D89:J89"/>
    <mergeCell ref="K89:Q89"/>
    <mergeCell ref="R89:W89"/>
    <mergeCell ref="I46:J46"/>
    <mergeCell ref="P46:Q46"/>
    <mergeCell ref="A70:A71"/>
    <mergeCell ref="B70:B71"/>
    <mergeCell ref="C70:C71"/>
    <mergeCell ref="D70:J70"/>
    <mergeCell ref="K70:Q70"/>
    <mergeCell ref="A43:W43"/>
    <mergeCell ref="A44:A45"/>
    <mergeCell ref="B44:B45"/>
    <mergeCell ref="C44:C45"/>
    <mergeCell ref="D44:J44"/>
    <mergeCell ref="K44:P44"/>
    <mergeCell ref="R44:W44"/>
    <mergeCell ref="A25:W25"/>
    <mergeCell ref="A26:A27"/>
    <mergeCell ref="B26:B27"/>
    <mergeCell ref="C26:C27"/>
    <mergeCell ref="D26:I26"/>
    <mergeCell ref="K26:P26"/>
    <mergeCell ref="R26:W26"/>
    <mergeCell ref="A5:R5"/>
    <mergeCell ref="A7:A8"/>
    <mergeCell ref="B7:B8"/>
    <mergeCell ref="C7:C8"/>
    <mergeCell ref="D7:I7"/>
    <mergeCell ref="K7:P7"/>
    <mergeCell ref="R7:W7"/>
  </mergeCells>
  <dataValidations count="1">
    <dataValidation type="decimal" allowBlank="1" showErrorMessage="1" errorTitle="Ошибка" error="Допускается ввод только действительных чисел!" sqref="I64940:I64941 I64957">
      <formula1>-9.99999999999999E+23</formula1>
      <formula2>9.99999999999999E+23</formula2>
    </dataValidation>
  </dataValidations>
  <pageMargins left="0.7" right="0.7" top="0.75" bottom="0.75" header="0.3" footer="0.3"/>
  <pageSetup paperSize="9" scale="27" fitToHeight="0" orientation="landscape" verticalDpi="0" r:id="rId1"/>
  <colBreaks count="1" manualBreakCount="1">
    <brk id="23" min="3" max="23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2018-12-27T13:48:20Z</dcterms:modified>
</cp:coreProperties>
</file>